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defaultThemeVersion="166925"/>
  <mc:AlternateContent xmlns:mc="http://schemas.openxmlformats.org/markup-compatibility/2006">
    <mc:Choice Requires="x15">
      <x15ac:absPath xmlns:x15ac="http://schemas.microsoft.com/office/spreadsheetml/2010/11/ac" url="C:\Users\Heinz\Documents\"/>
    </mc:Choice>
  </mc:AlternateContent>
  <xr:revisionPtr revIDLastSave="0" documentId="13_ncr:1_{912AB64B-D740-4B1A-9248-9B6A33B99F80}" xr6:coauthVersionLast="36" xr6:coauthVersionMax="36" xr10:uidLastSave="{00000000-0000-0000-0000-000000000000}"/>
  <bookViews>
    <workbookView xWindow="32772" yWindow="32772" windowWidth="13476" windowHeight="6936" xr2:uid="{00000000-000D-0000-FFFF-FFFF00000000}"/>
  </bookViews>
  <sheets>
    <sheet name="EINFÜHRUNG" sheetId="4" r:id="rId1"/>
    <sheet name="TABELLE 1 (J)" sheetId="1" r:id="rId2"/>
    <sheet name="TABELLE 2 (D)" sheetId="2" r:id="rId3"/>
    <sheet name="TABELLE 3 (F)" sheetId="3" r:id="rId4"/>
  </sheets>
  <definedNames>
    <definedName name="_xlnm.Print_Area" localSheetId="0">EINFÜHRUNG!$A$1:$N$53</definedName>
  </definedNames>
  <calcPr calcId="17902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N22" i="3" l="1"/>
  <c r="M22" i="3"/>
  <c r="D22" i="3"/>
  <c r="C22" i="3"/>
  <c r="N22" i="2"/>
  <c r="M22" i="2"/>
  <c r="D22" i="2"/>
  <c r="C22" i="2"/>
  <c r="N22" i="1"/>
  <c r="M22" i="1"/>
  <c r="D22" i="1"/>
  <c r="C22" i="1"/>
  <c r="N23" i="3" l="1"/>
  <c r="M23" i="3"/>
  <c r="N23" i="2"/>
  <c r="M23" i="2"/>
  <c r="D23" i="2"/>
  <c r="C23" i="2"/>
  <c r="N23" i="1"/>
  <c r="M23" i="1"/>
  <c r="D23" i="1"/>
  <c r="C23" i="1"/>
  <c r="Q11" i="3" l="1"/>
  <c r="P11" i="3"/>
  <c r="F11" i="3"/>
  <c r="Q23" i="3"/>
  <c r="Q24" i="3"/>
  <c r="Q25" i="3"/>
  <c r="Q3" i="3"/>
  <c r="Q4" i="3"/>
  <c r="Q5" i="3"/>
  <c r="M5" i="3"/>
  <c r="N5" i="3"/>
  <c r="M6" i="3"/>
  <c r="N6" i="3"/>
  <c r="M7" i="3"/>
  <c r="N7" i="3"/>
  <c r="M8" i="3"/>
  <c r="N8" i="3"/>
  <c r="M9" i="3"/>
  <c r="N9" i="3"/>
  <c r="Q11" i="2"/>
  <c r="P11" i="2"/>
  <c r="G11" i="2"/>
  <c r="F11" i="2"/>
  <c r="Q23" i="2"/>
  <c r="Q24" i="2"/>
  <c r="Q25" i="2"/>
  <c r="Q3" i="2"/>
  <c r="Q4" i="2"/>
  <c r="Q5" i="2"/>
  <c r="M5" i="2"/>
  <c r="N5" i="2"/>
  <c r="M6" i="2"/>
  <c r="N6" i="2"/>
  <c r="M7" i="2"/>
  <c r="N7" i="2"/>
  <c r="M8" i="2"/>
  <c r="N8" i="2"/>
  <c r="M9" i="2"/>
  <c r="N9" i="2"/>
  <c r="Q11" i="1"/>
  <c r="P11" i="1"/>
  <c r="Q23" i="1"/>
  <c r="Q24" i="1"/>
  <c r="Q25" i="1"/>
  <c r="Q3" i="1"/>
  <c r="Q4" i="1"/>
  <c r="Q5" i="1"/>
  <c r="M5" i="1"/>
  <c r="N5" i="1"/>
  <c r="M6" i="1"/>
  <c r="N6" i="1"/>
  <c r="M7" i="1"/>
  <c r="N7" i="1"/>
  <c r="M8" i="1"/>
  <c r="N8" i="1"/>
  <c r="M9" i="1"/>
  <c r="N9" i="1"/>
  <c r="F11" i="1"/>
  <c r="N38" i="3" l="1"/>
  <c r="N39" i="3" s="1"/>
  <c r="Q39" i="3" s="1"/>
  <c r="M38" i="3"/>
  <c r="M39" i="3" s="1"/>
  <c r="P39" i="3" s="1"/>
  <c r="N19" i="3"/>
  <c r="M19" i="3"/>
  <c r="M29" i="3" s="1"/>
  <c r="P29" i="3" s="1"/>
  <c r="C38" i="3"/>
  <c r="C39" i="3" s="1"/>
  <c r="F39" i="3" s="1"/>
  <c r="F14" i="3"/>
  <c r="F13" i="3"/>
  <c r="N38" i="2"/>
  <c r="N39" i="2" s="1"/>
  <c r="Q39" i="2" s="1"/>
  <c r="M38" i="2"/>
  <c r="M39" i="2" s="1"/>
  <c r="P39" i="2" s="1"/>
  <c r="N19" i="2"/>
  <c r="M19" i="2"/>
  <c r="C38" i="2"/>
  <c r="C39" i="2" s="1"/>
  <c r="F39" i="2" s="1"/>
  <c r="G13" i="2"/>
  <c r="F14" i="2"/>
  <c r="F13" i="2"/>
  <c r="C38" i="1"/>
  <c r="C39" i="1" s="1"/>
  <c r="F39" i="1" s="1"/>
  <c r="M38" i="1"/>
  <c r="M39" i="1" s="1"/>
  <c r="P39" i="1" s="1"/>
  <c r="N38" i="1"/>
  <c r="N39" i="1" s="1"/>
  <c r="Q39" i="1" s="1"/>
  <c r="N19" i="1"/>
  <c r="Q19" i="1" s="1"/>
  <c r="M19" i="1"/>
  <c r="M29" i="1" s="1"/>
  <c r="P29" i="1" s="1"/>
  <c r="G13" i="1"/>
  <c r="F14" i="1"/>
  <c r="F13" i="1"/>
  <c r="L48" i="3"/>
  <c r="K48" i="3"/>
  <c r="G2" i="3"/>
  <c r="H4" i="3" s="1"/>
  <c r="N48" i="2"/>
  <c r="M48" i="2"/>
  <c r="G22" i="2"/>
  <c r="I31" i="2"/>
  <c r="I30" i="2"/>
  <c r="I29" i="2"/>
  <c r="H29" i="2"/>
  <c r="I27" i="2"/>
  <c r="I26" i="2"/>
  <c r="I25" i="2"/>
  <c r="H25" i="2"/>
  <c r="I23" i="2"/>
  <c r="I22" i="2"/>
  <c r="G2" i="2"/>
  <c r="H4" i="2" s="1"/>
  <c r="I12" i="2"/>
  <c r="H3" i="2"/>
  <c r="D37" i="2"/>
  <c r="D38" i="2" s="1"/>
  <c r="D39" i="2" s="1"/>
  <c r="G39" i="2" s="1"/>
  <c r="D36" i="2"/>
  <c r="D26" i="2"/>
  <c r="D27" i="2"/>
  <c r="D28" i="2"/>
  <c r="C26" i="2"/>
  <c r="C27" i="2"/>
  <c r="C28" i="2"/>
  <c r="D25" i="2"/>
  <c r="D29" i="2" s="1"/>
  <c r="C25" i="2"/>
  <c r="C29" i="2" s="1"/>
  <c r="D18" i="2"/>
  <c r="D19" i="2" s="1"/>
  <c r="C18" i="2"/>
  <c r="C19" i="2" s="1"/>
  <c r="D14" i="2"/>
  <c r="G14" i="2"/>
  <c r="D12" i="2"/>
  <c r="I32" i="2"/>
  <c r="D11" i="2"/>
  <c r="N48" i="1"/>
  <c r="M48" i="1"/>
  <c r="G2" i="1"/>
  <c r="H4" i="1" s="1"/>
  <c r="D12" i="1"/>
  <c r="D13" i="1"/>
  <c r="G22" i="1"/>
  <c r="I23" i="1" s="1"/>
  <c r="H12" i="1"/>
  <c r="D12" i="3"/>
  <c r="D13" i="3"/>
  <c r="G13" i="3" s="1"/>
  <c r="D37" i="3"/>
  <c r="D38" i="3"/>
  <c r="D39" i="3" s="1"/>
  <c r="G39" i="3" s="1"/>
  <c r="N26" i="3"/>
  <c r="N27" i="3"/>
  <c r="N28" i="3"/>
  <c r="M26" i="3"/>
  <c r="M27" i="3"/>
  <c r="M28" i="3"/>
  <c r="N25" i="3"/>
  <c r="M25" i="3"/>
  <c r="N18" i="3"/>
  <c r="M18" i="3"/>
  <c r="N26" i="2"/>
  <c r="N27" i="2"/>
  <c r="N28" i="2"/>
  <c r="M26" i="2"/>
  <c r="M27" i="2"/>
  <c r="M28" i="2"/>
  <c r="N25" i="2"/>
  <c r="M25" i="2"/>
  <c r="N18" i="2"/>
  <c r="M18" i="2"/>
  <c r="D14" i="1"/>
  <c r="G14" i="1"/>
  <c r="D11" i="1"/>
  <c r="G11" i="1" s="1"/>
  <c r="C27" i="1"/>
  <c r="C25" i="1"/>
  <c r="C29" i="1" s="1"/>
  <c r="C28" i="1"/>
  <c r="C26" i="1"/>
  <c r="M25" i="1"/>
  <c r="N26" i="1"/>
  <c r="N27" i="1"/>
  <c r="N28" i="1"/>
  <c r="M26" i="1"/>
  <c r="M27" i="1"/>
  <c r="M28" i="1"/>
  <c r="N25" i="1"/>
  <c r="N18" i="1"/>
  <c r="M18" i="1"/>
  <c r="D14" i="3"/>
  <c r="G14" i="3" s="1"/>
  <c r="D11" i="3"/>
  <c r="G11" i="3" s="1"/>
  <c r="D36" i="3"/>
  <c r="D26" i="3"/>
  <c r="D27" i="3"/>
  <c r="D28" i="3"/>
  <c r="C26" i="3"/>
  <c r="C27" i="3"/>
  <c r="C28" i="3"/>
  <c r="D25" i="3"/>
  <c r="D29" i="3" s="1"/>
  <c r="C25" i="3"/>
  <c r="C29" i="3" s="1"/>
  <c r="D23" i="3"/>
  <c r="C23" i="3"/>
  <c r="D18" i="3"/>
  <c r="D19" i="3" s="1"/>
  <c r="C18" i="3"/>
  <c r="C19" i="3" s="1"/>
  <c r="D37" i="1"/>
  <c r="D38" i="1"/>
  <c r="D39" i="1" s="1"/>
  <c r="G39" i="1" s="1"/>
  <c r="D36" i="1"/>
  <c r="C18" i="1"/>
  <c r="C19" i="1" s="1"/>
  <c r="D28" i="1"/>
  <c r="D26" i="1"/>
  <c r="D27" i="1"/>
  <c r="D25" i="1"/>
  <c r="D29" i="1" s="1"/>
  <c r="D18" i="1"/>
  <c r="D19" i="1" s="1"/>
  <c r="H3" i="1"/>
  <c r="I11" i="2"/>
  <c r="I7" i="2"/>
  <c r="I3" i="2"/>
  <c r="H22" i="2"/>
  <c r="H26" i="2"/>
  <c r="H30" i="2"/>
  <c r="I10" i="2"/>
  <c r="I6" i="2"/>
  <c r="I2" i="2"/>
  <c r="H23" i="2"/>
  <c r="H27" i="2"/>
  <c r="H31" i="2"/>
  <c r="N29" i="2"/>
  <c r="Q29" i="2" s="1"/>
  <c r="H10" i="2"/>
  <c r="H6" i="2"/>
  <c r="H2" i="2"/>
  <c r="H9" i="1"/>
  <c r="H5" i="1"/>
  <c r="H32" i="1"/>
  <c r="I9" i="2"/>
  <c r="I5" i="2"/>
  <c r="H24" i="2"/>
  <c r="H28" i="2"/>
  <c r="H32" i="2"/>
  <c r="H9" i="2"/>
  <c r="H5" i="2"/>
  <c r="H12" i="2"/>
  <c r="I24" i="2"/>
  <c r="I28" i="2"/>
  <c r="I8" i="2"/>
  <c r="I4" i="2"/>
  <c r="N47" i="2" l="1"/>
  <c r="N33" i="2" s="1"/>
  <c r="Q19" i="2"/>
  <c r="M29" i="2"/>
  <c r="P29" i="2" s="1"/>
  <c r="P19" i="2"/>
  <c r="M30" i="2"/>
  <c r="H11" i="2"/>
  <c r="H8" i="2"/>
  <c r="H7" i="2"/>
  <c r="F12" i="2" s="1"/>
  <c r="I31" i="1"/>
  <c r="H27" i="1"/>
  <c r="H31" i="1"/>
  <c r="H26" i="1"/>
  <c r="H29" i="1"/>
  <c r="H7" i="1"/>
  <c r="I8" i="1"/>
  <c r="H30" i="1"/>
  <c r="I26" i="1"/>
  <c r="H24" i="1"/>
  <c r="I24" i="1"/>
  <c r="I30" i="1"/>
  <c r="I7" i="1"/>
  <c r="I27" i="1"/>
  <c r="H28" i="1"/>
  <c r="I28" i="1"/>
  <c r="I22" i="1"/>
  <c r="I3" i="1"/>
  <c r="I32" i="1"/>
  <c r="H25" i="1"/>
  <c r="H22" i="1"/>
  <c r="I29" i="1"/>
  <c r="C30" i="2"/>
  <c r="C33" i="2" s="1"/>
  <c r="I12" i="1"/>
  <c r="H8" i="1"/>
  <c r="I2" i="1"/>
  <c r="H2" i="1"/>
  <c r="I11" i="1"/>
  <c r="I6" i="1"/>
  <c r="I25" i="1"/>
  <c r="H11" i="1"/>
  <c r="H6" i="1"/>
  <c r="H23" i="1"/>
  <c r="I10" i="1"/>
  <c r="I5" i="1"/>
  <c r="C30" i="1"/>
  <c r="C33" i="1" s="1"/>
  <c r="H10" i="1"/>
  <c r="I4" i="1"/>
  <c r="I9" i="1"/>
  <c r="I6" i="3"/>
  <c r="H8" i="3"/>
  <c r="I2" i="3"/>
  <c r="H2" i="3"/>
  <c r="I3" i="3"/>
  <c r="I5" i="3"/>
  <c r="I12" i="3"/>
  <c r="H12" i="3"/>
  <c r="I9" i="3"/>
  <c r="H11" i="3"/>
  <c r="H3" i="3"/>
  <c r="H10" i="3"/>
  <c r="H6" i="3"/>
  <c r="I4" i="3"/>
  <c r="I8" i="3"/>
  <c r="H5" i="3"/>
  <c r="I7" i="3"/>
  <c r="H9" i="3"/>
  <c r="I10" i="3"/>
  <c r="H7" i="3"/>
  <c r="I11" i="3"/>
  <c r="G22" i="3"/>
  <c r="H29" i="3" s="1"/>
  <c r="D30" i="3"/>
  <c r="D33" i="3" s="1"/>
  <c r="N29" i="3"/>
  <c r="Q29" i="3" s="1"/>
  <c r="Q19" i="3"/>
  <c r="N30" i="3"/>
  <c r="K47" i="3"/>
  <c r="M33" i="3" s="1"/>
  <c r="P19" i="3"/>
  <c r="M30" i="3"/>
  <c r="L47" i="3"/>
  <c r="N33" i="3" s="1"/>
  <c r="C30" i="3"/>
  <c r="C33" i="3" s="1"/>
  <c r="N30" i="2"/>
  <c r="M47" i="2"/>
  <c r="M33" i="2" s="1"/>
  <c r="D30" i="2"/>
  <c r="D33" i="2" s="1"/>
  <c r="G12" i="2"/>
  <c r="M30" i="1"/>
  <c r="M47" i="1"/>
  <c r="M33" i="1" s="1"/>
  <c r="P19" i="1"/>
  <c r="N30" i="1"/>
  <c r="N47" i="1"/>
  <c r="N33" i="1" s="1"/>
  <c r="N29" i="1"/>
  <c r="Q29" i="1" s="1"/>
  <c r="D30" i="1"/>
  <c r="D33" i="1" s="1"/>
  <c r="Q22" i="2" l="1"/>
  <c r="S28" i="2" s="1"/>
  <c r="G12" i="1"/>
  <c r="F12" i="1"/>
  <c r="F12" i="3"/>
  <c r="H25" i="3"/>
  <c r="H30" i="3"/>
  <c r="I26" i="3"/>
  <c r="H32" i="3"/>
  <c r="I22" i="3"/>
  <c r="H31" i="3"/>
  <c r="I24" i="3"/>
  <c r="I30" i="3"/>
  <c r="I29" i="3"/>
  <c r="I28" i="3"/>
  <c r="H28" i="3"/>
  <c r="H24" i="3"/>
  <c r="H23" i="3"/>
  <c r="H27" i="3"/>
  <c r="I31" i="3"/>
  <c r="I23" i="3"/>
  <c r="H22" i="3"/>
  <c r="I27" i="3"/>
  <c r="I32" i="3"/>
  <c r="H26" i="3"/>
  <c r="I25" i="3"/>
  <c r="Q2" i="3"/>
  <c r="S5" i="3" s="1"/>
  <c r="Q22" i="3"/>
  <c r="R23" i="3" s="1"/>
  <c r="S30" i="2"/>
  <c r="R28" i="2"/>
  <c r="Q2" i="2"/>
  <c r="S7" i="2" s="1"/>
  <c r="S24" i="2"/>
  <c r="S31" i="2"/>
  <c r="R24" i="2"/>
  <c r="S27" i="2"/>
  <c r="S29" i="2"/>
  <c r="Q2" i="1"/>
  <c r="R10" i="1" s="1"/>
  <c r="Q22" i="1"/>
  <c r="R24" i="1" s="1"/>
  <c r="S32" i="2" l="1"/>
  <c r="R29" i="2"/>
  <c r="R31" i="2"/>
  <c r="R32" i="2"/>
  <c r="R22" i="2"/>
  <c r="Q33" i="2" s="1"/>
  <c r="R25" i="2"/>
  <c r="S25" i="2"/>
  <c r="S26" i="2"/>
  <c r="R26" i="2"/>
  <c r="S22" i="2"/>
  <c r="R27" i="2"/>
  <c r="R30" i="2"/>
  <c r="S23" i="2"/>
  <c r="R23" i="2"/>
  <c r="G12" i="3"/>
  <c r="S9" i="3"/>
  <c r="R9" i="3"/>
  <c r="S6" i="3"/>
  <c r="S3" i="3"/>
  <c r="R12" i="3"/>
  <c r="R7" i="3"/>
  <c r="S11" i="3"/>
  <c r="S7" i="3"/>
  <c r="R4" i="3"/>
  <c r="R3" i="3"/>
  <c r="S8" i="3"/>
  <c r="R11" i="3"/>
  <c r="R2" i="3"/>
  <c r="R5" i="3"/>
  <c r="R6" i="3"/>
  <c r="S10" i="3"/>
  <c r="R22" i="3"/>
  <c r="S23" i="3"/>
  <c r="R25" i="3"/>
  <c r="S4" i="3"/>
  <c r="R8" i="3"/>
  <c r="S12" i="3"/>
  <c r="S2" i="3"/>
  <c r="R10" i="3"/>
  <c r="S31" i="3"/>
  <c r="S25" i="3"/>
  <c r="R28" i="3"/>
  <c r="R29" i="3"/>
  <c r="S29" i="3"/>
  <c r="S26" i="3"/>
  <c r="R24" i="3"/>
  <c r="R32" i="3"/>
  <c r="S30" i="3"/>
  <c r="S22" i="3"/>
  <c r="S27" i="3"/>
  <c r="R31" i="3"/>
  <c r="S28" i="3"/>
  <c r="S32" i="3"/>
  <c r="S24" i="3"/>
  <c r="R30" i="3"/>
  <c r="R27" i="3"/>
  <c r="R26" i="3"/>
  <c r="R8" i="2"/>
  <c r="S10" i="2"/>
  <c r="R12" i="2"/>
  <c r="S6" i="2"/>
  <c r="S12" i="2"/>
  <c r="S3" i="2"/>
  <c r="R10" i="2"/>
  <c r="R6" i="2"/>
  <c r="R4" i="2"/>
  <c r="S2" i="2"/>
  <c r="S11" i="2"/>
  <c r="R2" i="2"/>
  <c r="S4" i="2"/>
  <c r="S9" i="2"/>
  <c r="R9" i="2"/>
  <c r="R11" i="2"/>
  <c r="S8" i="2"/>
  <c r="R5" i="2"/>
  <c r="R3" i="2"/>
  <c r="R7" i="2"/>
  <c r="S5" i="2"/>
  <c r="S6" i="1"/>
  <c r="R6" i="1"/>
  <c r="R9" i="1"/>
  <c r="S10" i="1"/>
  <c r="R5" i="1"/>
  <c r="R7" i="1"/>
  <c r="S2" i="1"/>
  <c r="S5" i="1"/>
  <c r="S11" i="1"/>
  <c r="S7" i="1"/>
  <c r="S9" i="1"/>
  <c r="R3" i="1"/>
  <c r="S12" i="1"/>
  <c r="S3" i="1"/>
  <c r="R12" i="1"/>
  <c r="S8" i="1"/>
  <c r="R11" i="1"/>
  <c r="R8" i="1"/>
  <c r="R2" i="1"/>
  <c r="R4" i="1"/>
  <c r="S4" i="1"/>
  <c r="S22" i="1"/>
  <c r="R22" i="1"/>
  <c r="S30" i="1"/>
  <c r="S31" i="1"/>
  <c r="S26" i="1"/>
  <c r="R29" i="1"/>
  <c r="R30" i="1"/>
  <c r="S29" i="1"/>
  <c r="S28" i="1"/>
  <c r="S32" i="1"/>
  <c r="S27" i="1"/>
  <c r="S25" i="1"/>
  <c r="R28" i="1"/>
  <c r="S23" i="1"/>
  <c r="R23" i="1"/>
  <c r="R32" i="1"/>
  <c r="R27" i="1"/>
  <c r="R31" i="1"/>
  <c r="R25" i="1"/>
  <c r="R26" i="1"/>
  <c r="S24" i="1"/>
  <c r="P33" i="2" l="1"/>
  <c r="Q33" i="3"/>
  <c r="P33" i="3"/>
  <c r="Q33" i="1"/>
  <c r="P33" i="1"/>
</calcChain>
</file>

<file path=xl/sharedStrings.xml><?xml version="1.0" encoding="utf-8"?>
<sst xmlns="http://schemas.openxmlformats.org/spreadsheetml/2006/main" count="368" uniqueCount="68">
  <si>
    <t>Konstantentherm A =</t>
  </si>
  <si>
    <t>Regressionskoeffizient B =</t>
  </si>
  <si>
    <t>Korrelationskoeffizient r =</t>
  </si>
  <si>
    <t>wahrscheinlichkeit des</t>
  </si>
  <si>
    <t>Spezifische Überlebens -</t>
  </si>
  <si>
    <t xml:space="preserve">wahrscheinlichkeit des </t>
  </si>
  <si>
    <t>RESULTATE:</t>
  </si>
  <si>
    <t>Überlebens -</t>
  </si>
  <si>
    <r>
      <t>Sterbealter (</t>
    </r>
    <r>
      <rPr>
        <u/>
        <sz val="10"/>
        <color indexed="17"/>
        <rFont val="Arial"/>
        <family val="2"/>
      </rPr>
      <t>ZA</t>
    </r>
    <r>
      <rPr>
        <sz val="10"/>
        <color indexed="17"/>
        <rFont val="Arial"/>
        <family val="2"/>
      </rPr>
      <t xml:space="preserve"> + n) Jahre</t>
    </r>
  </si>
  <si>
    <r>
      <t>ZielAlter (</t>
    </r>
    <r>
      <rPr>
        <u/>
        <sz val="10"/>
        <color indexed="10"/>
        <rFont val="Arial"/>
        <family val="2"/>
      </rPr>
      <t>ZA</t>
    </r>
    <r>
      <rPr>
        <sz val="10"/>
        <color indexed="10"/>
        <rFont val="Arial"/>
        <family val="2"/>
      </rPr>
      <t xml:space="preserve"> ≥ (</t>
    </r>
    <r>
      <rPr>
        <u/>
        <sz val="10"/>
        <color indexed="10"/>
        <rFont val="Arial"/>
        <family val="2"/>
      </rPr>
      <t>AA</t>
    </r>
    <r>
      <rPr>
        <sz val="10"/>
        <color indexed="10"/>
        <rFont val="Arial"/>
        <family val="2"/>
      </rPr>
      <t xml:space="preserve"> + m)) J.</t>
    </r>
  </si>
  <si>
    <r>
      <t>Sterbealter (</t>
    </r>
    <r>
      <rPr>
        <u/>
        <sz val="10"/>
        <color indexed="20"/>
        <rFont val="Arial"/>
        <family val="2"/>
      </rPr>
      <t>AA</t>
    </r>
    <r>
      <rPr>
        <sz val="10"/>
        <color indexed="20"/>
        <rFont val="Arial"/>
        <family val="2"/>
      </rPr>
      <t xml:space="preserve"> + m) Jahre</t>
    </r>
  </si>
  <si>
    <r>
      <t>A</t>
    </r>
    <r>
      <rPr>
        <sz val="10"/>
        <color indexed="12"/>
        <rFont val="Arial"/>
        <family val="2"/>
      </rPr>
      <t xml:space="preserve">ktuelles </t>
    </r>
    <r>
      <rPr>
        <u/>
        <sz val="10"/>
        <color indexed="12"/>
        <rFont val="Arial"/>
        <family val="2"/>
      </rPr>
      <t>A</t>
    </r>
    <r>
      <rPr>
        <sz val="10"/>
        <color indexed="12"/>
        <rFont val="Arial"/>
        <family val="2"/>
      </rPr>
      <t>lter (AA ≥ 0 J.)</t>
    </r>
  </si>
  <si>
    <t>Vorgabe-% überschritten</t>
  </si>
  <si>
    <r>
      <t>Merke:</t>
    </r>
    <r>
      <rPr>
        <sz val="10"/>
        <rFont val="Arial"/>
        <family val="2"/>
      </rPr>
      <t xml:space="preserve"> Vorgaben immer nur in den hellgrünen Feldern!</t>
    </r>
  </si>
  <si>
    <t>&gt;für aktuelles Alter … (J)</t>
  </si>
  <si>
    <t>&gt;Überlebensw - keit…(%)</t>
  </si>
  <si>
    <t>&gt;Gesuchtes Alter (J.) mit</t>
  </si>
  <si>
    <t>UMGEKEHRTE VORGABE:</t>
  </si>
  <si>
    <t>INDIVIDUELLE VORGABEN ZUR ABFRAGE:</t>
  </si>
  <si>
    <t>Häufigstes Sterbealter xs</t>
  </si>
  <si>
    <t>Mittl. arithm. Sterbealter xap</t>
  </si>
  <si>
    <t>NORMALTAFEL (5 x 1)</t>
  </si>
  <si>
    <t>Männer</t>
  </si>
  <si>
    <t>Frauen</t>
  </si>
  <si>
    <t>Restleben (xap)</t>
  </si>
  <si>
    <t>&gt;&gt;&gt;&gt;&gt;&gt;&gt;&gt;&gt;&gt;&gt;&gt;</t>
  </si>
  <si>
    <t xml:space="preserve">               Hilfsformeln</t>
  </si>
  <si>
    <t>TREND PR degressiv --&gt; Ks =</t>
  </si>
  <si>
    <t xml:space="preserve">          B =</t>
  </si>
  <si>
    <t xml:space="preserve">          A =</t>
  </si>
  <si>
    <t>Spezialfall &gt;&gt;&gt;&gt;</t>
  </si>
  <si>
    <t xml:space="preserve">                  A =</t>
  </si>
  <si>
    <t xml:space="preserve">                  B =</t>
  </si>
  <si>
    <t>TREND PR degressiv --&gt;     Ks =</t>
  </si>
  <si>
    <t>Zielalters (ZA)</t>
  </si>
  <si>
    <t>aktuellen Alters (AA)</t>
  </si>
  <si>
    <t>(gültig bis AA ~ ≤ 100 J)</t>
  </si>
  <si>
    <t>wahrscheinlichkeit</t>
  </si>
  <si>
    <t>des (erhöhten)</t>
  </si>
  <si>
    <t>Sterbealters (ZA + n)</t>
  </si>
  <si>
    <t>des (reduzierten)</t>
  </si>
  <si>
    <t>Sterbealters (AA + m)</t>
  </si>
  <si>
    <t>Vorgabe aktuelles Alter (AA ≥ 0 J.)</t>
  </si>
  <si>
    <t>Vorgabe Überschreitungsw.(%) für NICHT - Überlebende des ZA --&gt; reduz. ZA =?</t>
  </si>
  <si>
    <t xml:space="preserve">Vorgabe Überschreitungsw. (%), ab AA --&gt; Zielalter (ZA) =? </t>
  </si>
  <si>
    <t>Vorgabe Überschreitungsw. (%) für Überlebende des ZA --&gt; erhöhtes ZA =?</t>
  </si>
  <si>
    <t>Gesuchtes Zielalter (J)</t>
  </si>
  <si>
    <t>Spezifische Überlebenswahrscheinlichkeit des aktuellen Alters (%)</t>
  </si>
  <si>
    <t>Gesuchtes erhöhtes Zielalter (J)</t>
  </si>
  <si>
    <t>Gesuchtes reduziertes Zielalter (J)</t>
  </si>
  <si>
    <t>Männer 2016</t>
  </si>
  <si>
    <t>Frauen 2016</t>
  </si>
  <si>
    <t>MÄNNER UND FRAUEN 2016 JAPAN</t>
  </si>
  <si>
    <t>Korrelationskoeffizient IrI =</t>
  </si>
  <si>
    <t>MÄNNER UND FRAUEN 2015 DEUTSCHLAND</t>
  </si>
  <si>
    <t>Männer 2015</t>
  </si>
  <si>
    <t>Frauen 2015</t>
  </si>
  <si>
    <t>KorrelationskoeffizientI rI =</t>
  </si>
  <si>
    <t>MÄNNER UND FRAUEN 2016 FRANKREICH</t>
  </si>
  <si>
    <t>STATISTISCHE WERTE:</t>
  </si>
  <si>
    <t>STATISTISCHE WERTE (Summenkurve linksschief - steigend):</t>
  </si>
  <si>
    <t>(SK rechtsschief -</t>
  </si>
  <si>
    <t>fallend)</t>
  </si>
  <si>
    <t>Restleben für (ZA-AA) Männer:</t>
  </si>
  <si>
    <t>Restleben für (ZA-AA) Frauen:</t>
  </si>
  <si>
    <t>***hier klicken:</t>
  </si>
  <si>
    <t>www.mortality.org</t>
  </si>
  <si>
    <t>http://www.lebenserwartung.info/index-Dateien/sterbetafel.htm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</si>
</sst>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9" x14ac:knownFonts="1">
    <font>
      <sz val="10"/>
      <name val="Arial"/>
    </font>
    <font>
      <sz val="10"/>
      <name val="Arial"/>
      <family val="2"/>
    </font>
    <font>
      <sz val="8"/>
      <name val="Arial"/>
      <family val="2"/>
    </font>
    <font>
      <sz val="10"/>
      <color indexed="10"/>
      <name val="Arial"/>
      <family val="2"/>
    </font>
    <font>
      <sz val="10"/>
      <color indexed="12"/>
      <name val="Arial"/>
      <family val="2"/>
    </font>
    <font>
      <b/>
      <sz val="10"/>
      <color indexed="10"/>
      <name val="Arial"/>
      <family val="2"/>
    </font>
    <font>
      <b/>
      <sz val="10"/>
      <name val="Arial"/>
      <family val="2"/>
    </font>
    <font>
      <b/>
      <sz val="10"/>
      <color indexed="12"/>
      <name val="Arial"/>
      <family val="2"/>
    </font>
    <font>
      <sz val="10"/>
      <name val="Arial"/>
      <family val="2"/>
    </font>
    <font>
      <u/>
      <sz val="10"/>
      <color indexed="12"/>
      <name val="Arial"/>
      <family val="2"/>
    </font>
    <font>
      <sz val="10"/>
      <color indexed="57"/>
      <name val="Arial"/>
      <family val="2"/>
    </font>
    <font>
      <b/>
      <sz val="14"/>
      <color indexed="12"/>
      <name val="Arial"/>
      <family val="2"/>
    </font>
    <font>
      <b/>
      <sz val="14"/>
      <color indexed="10"/>
      <name val="Arial"/>
      <family val="2"/>
    </font>
    <font>
      <sz val="10"/>
      <color indexed="17"/>
      <name val="Arial"/>
      <family val="2"/>
    </font>
    <font>
      <sz val="10"/>
      <color indexed="20"/>
      <name val="Arial"/>
      <family val="2"/>
    </font>
    <font>
      <u/>
      <sz val="10"/>
      <color indexed="20"/>
      <name val="Arial"/>
      <family val="2"/>
    </font>
    <font>
      <b/>
      <sz val="10"/>
      <color indexed="17"/>
      <name val="Arial"/>
      <family val="2"/>
    </font>
    <font>
      <b/>
      <sz val="10"/>
      <color indexed="20"/>
      <name val="Arial"/>
      <family val="2"/>
    </font>
    <font>
      <b/>
      <u/>
      <sz val="10"/>
      <color indexed="20"/>
      <name val="Arial"/>
      <family val="2"/>
    </font>
    <font>
      <sz val="10"/>
      <color indexed="17"/>
      <name val="Arial"/>
      <family val="2"/>
    </font>
    <font>
      <b/>
      <sz val="14"/>
      <color indexed="17"/>
      <name val="Arial"/>
      <family val="2"/>
    </font>
    <font>
      <u/>
      <sz val="10"/>
      <color indexed="17"/>
      <name val="Arial"/>
      <family val="2"/>
    </font>
    <font>
      <b/>
      <sz val="14"/>
      <color indexed="17"/>
      <name val="Arial"/>
      <family val="2"/>
    </font>
    <font>
      <u/>
      <sz val="10"/>
      <color indexed="10"/>
      <name val="Arial"/>
      <family val="2"/>
    </font>
    <font>
      <b/>
      <sz val="14"/>
      <color indexed="10"/>
      <name val="Arial"/>
      <family val="2"/>
    </font>
    <font>
      <b/>
      <sz val="14"/>
      <color indexed="20"/>
      <name val="Arial"/>
      <family val="2"/>
    </font>
    <font>
      <b/>
      <sz val="14"/>
      <color indexed="20"/>
      <name val="Arial"/>
      <family val="2"/>
    </font>
    <font>
      <sz val="10"/>
      <color indexed="63"/>
      <name val="Arial"/>
      <family val="2"/>
    </font>
    <font>
      <sz val="10"/>
      <color indexed="63"/>
      <name val="Arial"/>
      <family val="2"/>
    </font>
    <font>
      <b/>
      <sz val="14"/>
      <name val="Arial"/>
      <family val="2"/>
    </font>
    <font>
      <sz val="10"/>
      <color indexed="10"/>
      <name val="Arial"/>
      <family val="2"/>
    </font>
    <font>
      <sz val="11"/>
      <name val="Arial"/>
      <family val="2"/>
    </font>
    <font>
      <b/>
      <sz val="11"/>
      <name val="Arial"/>
      <family val="2"/>
    </font>
    <font>
      <sz val="10"/>
      <color indexed="20"/>
      <name val="Arial"/>
      <family val="2"/>
    </font>
    <font>
      <sz val="10"/>
      <color indexed="12"/>
      <name val="Arial"/>
      <family val="2"/>
    </font>
    <font>
      <sz val="10"/>
      <color theme="0"/>
      <name val="Arial"/>
      <family val="2"/>
    </font>
    <font>
      <b/>
      <sz val="10"/>
      <color theme="0"/>
      <name val="Arial"/>
      <family val="2"/>
    </font>
    <font>
      <sz val="10"/>
      <color rgb="FFFF0000"/>
      <name val="Arial"/>
      <family val="2"/>
    </font>
    <font>
      <u/>
      <sz val="10"/>
      <color theme="10"/>
      <name val="Arial"/>
      <family val="2"/>
    </font>
  </fonts>
  <fills count="12">
    <fill>
      <patternFill patternType="none"/>
    </fill>
    <fill>
      <patternFill patternType="gray125"/>
    </fill>
    <fill>
      <patternFill patternType="solid">
        <fgColor indexed="52"/>
        <bgColor indexed="64"/>
      </patternFill>
    </fill>
    <fill>
      <patternFill patternType="solid">
        <fgColor indexed="13"/>
        <bgColor indexed="64"/>
      </patternFill>
    </fill>
    <fill>
      <patternFill patternType="solid">
        <fgColor indexed="22"/>
        <bgColor indexed="64"/>
      </patternFill>
    </fill>
    <fill>
      <patternFill patternType="solid">
        <fgColor indexed="63"/>
        <bgColor indexed="64"/>
      </patternFill>
    </fill>
    <fill>
      <patternFill patternType="solid">
        <fgColor indexed="50"/>
        <bgColor indexed="64"/>
      </patternFill>
    </fill>
    <fill>
      <patternFill patternType="solid">
        <fgColor indexed="17"/>
        <bgColor indexed="64"/>
      </patternFill>
    </fill>
    <fill>
      <patternFill patternType="solid">
        <fgColor indexed="46"/>
        <bgColor indexed="64"/>
      </patternFill>
    </fill>
    <fill>
      <patternFill patternType="solid">
        <fgColor indexed="51"/>
        <bgColor indexed="64"/>
      </patternFill>
    </fill>
    <fill>
      <patternFill patternType="solid">
        <fgColor indexed="55"/>
        <bgColor indexed="64"/>
      </patternFill>
    </fill>
    <fill>
      <patternFill patternType="solid">
        <fgColor theme="0"/>
        <bgColor indexed="64"/>
      </patternFill>
    </fill>
  </fills>
  <borders count="23">
    <border>
      <left/>
      <right/>
      <top/>
      <bottom/>
      <diagonal/>
    </border>
    <border>
      <left style="thick">
        <color indexed="64"/>
      </left>
      <right/>
      <top/>
      <bottom/>
      <diagonal/>
    </border>
    <border>
      <left/>
      <right style="thick">
        <color indexed="64"/>
      </right>
      <top/>
      <bottom/>
      <diagonal/>
    </border>
    <border>
      <left style="thick">
        <color indexed="64"/>
      </left>
      <right/>
      <top/>
      <bottom style="thin">
        <color indexed="64"/>
      </bottom>
      <diagonal/>
    </border>
    <border>
      <left/>
      <right style="thick">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ck">
        <color indexed="64"/>
      </left>
      <right/>
      <top style="thin">
        <color indexed="64"/>
      </top>
      <bottom/>
      <diagonal/>
    </border>
    <border>
      <left/>
      <right style="thick">
        <color indexed="64"/>
      </right>
      <top style="thin">
        <color indexed="64"/>
      </top>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right style="thick">
        <color indexed="64"/>
      </right>
      <top style="thin">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top style="thick">
        <color indexed="64"/>
      </top>
      <bottom style="thin">
        <color indexed="64"/>
      </bottom>
      <diagonal/>
    </border>
  </borders>
  <cellStyleXfs count="2">
    <xf numFmtId="0" fontId="0" fillId="0" borderId="0"/>
    <xf numFmtId="0" fontId="38" fillId="0" borderId="0" applyNumberFormat="0" applyFill="0" applyBorder="0" applyAlignment="0" applyProtection="0"/>
  </cellStyleXfs>
  <cellXfs count="212">
    <xf numFmtId="0" fontId="0" fillId="0" borderId="0" xfId="0"/>
    <xf numFmtId="0" fontId="0" fillId="11" borderId="0" xfId="0" applyFill="1"/>
    <xf numFmtId="0" fontId="0" fillId="0" borderId="0" xfId="0" applyProtection="1">
      <protection hidden="1"/>
    </xf>
    <xf numFmtId="0" fontId="32" fillId="0" borderId="0" xfId="0" applyFont="1" applyProtection="1">
      <protection hidden="1"/>
    </xf>
    <xf numFmtId="0" fontId="32" fillId="8" borderId="12" xfId="0" applyFont="1" applyFill="1" applyBorder="1" applyProtection="1">
      <protection hidden="1"/>
    </xf>
    <xf numFmtId="0" fontId="32" fillId="8" borderId="13" xfId="0" applyFont="1" applyFill="1" applyBorder="1" applyProtection="1">
      <protection hidden="1"/>
    </xf>
    <xf numFmtId="0" fontId="32" fillId="8" borderId="14" xfId="0" applyFont="1" applyFill="1" applyBorder="1" applyProtection="1">
      <protection hidden="1"/>
    </xf>
    <xf numFmtId="0" fontId="1" fillId="4" borderId="0" xfId="0" applyFont="1" applyFill="1" applyProtection="1">
      <protection hidden="1"/>
    </xf>
    <xf numFmtId="0" fontId="0" fillId="4" borderId="0" xfId="0" applyFill="1" applyProtection="1">
      <protection hidden="1"/>
    </xf>
    <xf numFmtId="0" fontId="0" fillId="4" borderId="0" xfId="0" applyFill="1" applyAlignment="1" applyProtection="1">
      <alignment horizontal="center"/>
      <protection hidden="1"/>
    </xf>
    <xf numFmtId="0" fontId="35" fillId="0" borderId="0" xfId="0" applyFont="1" applyFill="1" applyAlignment="1" applyProtection="1">
      <alignment horizontal="center"/>
      <protection hidden="1"/>
    </xf>
    <xf numFmtId="0" fontId="32" fillId="8" borderId="15" xfId="0" applyFont="1" applyFill="1" applyBorder="1" applyProtection="1">
      <protection hidden="1"/>
    </xf>
    <xf numFmtId="0" fontId="31" fillId="8" borderId="16" xfId="0" applyFont="1" applyFill="1" applyBorder="1" applyProtection="1">
      <protection hidden="1"/>
    </xf>
    <xf numFmtId="0" fontId="31" fillId="8" borderId="17" xfId="0" applyFont="1" applyFill="1" applyBorder="1" applyProtection="1">
      <protection hidden="1"/>
    </xf>
    <xf numFmtId="0" fontId="0" fillId="10" borderId="0" xfId="0" applyFill="1" applyProtection="1">
      <protection hidden="1"/>
    </xf>
    <xf numFmtId="0" fontId="0" fillId="10" borderId="0" xfId="0" applyFill="1" applyAlignment="1" applyProtection="1">
      <alignment horizontal="center"/>
      <protection hidden="1"/>
    </xf>
    <xf numFmtId="0" fontId="6" fillId="4" borderId="6" xfId="0" applyFont="1" applyFill="1" applyBorder="1" applyProtection="1">
      <protection hidden="1"/>
    </xf>
    <xf numFmtId="0" fontId="1" fillId="4" borderId="7" xfId="0" applyFont="1" applyFill="1" applyBorder="1" applyProtection="1">
      <protection hidden="1"/>
    </xf>
    <xf numFmtId="0" fontId="1" fillId="4" borderId="3" xfId="0" applyFont="1" applyFill="1" applyBorder="1" applyAlignment="1" applyProtection="1">
      <alignment horizontal="center"/>
      <protection hidden="1"/>
    </xf>
    <xf numFmtId="0" fontId="1" fillId="4" borderId="4" xfId="0" applyFont="1" applyFill="1" applyBorder="1" applyProtection="1">
      <protection hidden="1"/>
    </xf>
    <xf numFmtId="0" fontId="0" fillId="10" borderId="0" xfId="0" applyFill="1" applyBorder="1" applyAlignment="1" applyProtection="1">
      <alignment horizontal="center"/>
      <protection hidden="1"/>
    </xf>
    <xf numFmtId="0" fontId="6" fillId="4" borderId="22" xfId="0" applyFont="1" applyFill="1" applyBorder="1" applyProtection="1">
      <protection hidden="1"/>
    </xf>
    <xf numFmtId="0" fontId="0" fillId="4" borderId="5" xfId="0" applyFill="1" applyBorder="1" applyProtection="1">
      <protection hidden="1"/>
    </xf>
    <xf numFmtId="0" fontId="0" fillId="4" borderId="0" xfId="0" applyFill="1" applyBorder="1" applyProtection="1">
      <protection hidden="1"/>
    </xf>
    <xf numFmtId="0" fontId="1" fillId="2" borderId="1" xfId="0" applyFont="1" applyFill="1" applyBorder="1" applyAlignment="1" applyProtection="1">
      <alignment horizontal="center"/>
      <protection hidden="1"/>
    </xf>
    <xf numFmtId="0" fontId="1" fillId="3" borderId="2" xfId="0" applyFont="1" applyFill="1" applyBorder="1" applyAlignment="1" applyProtection="1">
      <alignment horizontal="center"/>
      <protection hidden="1"/>
    </xf>
    <xf numFmtId="0" fontId="0" fillId="4" borderId="1" xfId="0" applyFill="1" applyBorder="1" applyProtection="1">
      <protection hidden="1"/>
    </xf>
    <xf numFmtId="0" fontId="0" fillId="0" borderId="0" xfId="0" applyFill="1" applyProtection="1">
      <protection hidden="1"/>
    </xf>
    <xf numFmtId="0" fontId="0" fillId="0" borderId="0" xfId="0" applyFill="1" applyAlignment="1" applyProtection="1">
      <alignment horizontal="center"/>
      <protection hidden="1"/>
    </xf>
    <xf numFmtId="0" fontId="1" fillId="4" borderId="5" xfId="0" applyFont="1" applyFill="1" applyBorder="1" applyProtection="1">
      <protection hidden="1"/>
    </xf>
    <xf numFmtId="0" fontId="6" fillId="4" borderId="0" xfId="0" applyFont="1" applyFill="1" applyBorder="1" applyProtection="1">
      <protection hidden="1"/>
    </xf>
    <xf numFmtId="0" fontId="6" fillId="2" borderId="1" xfId="0" applyFont="1" applyFill="1" applyBorder="1" applyAlignment="1" applyProtection="1">
      <alignment horizontal="center"/>
      <protection hidden="1"/>
    </xf>
    <xf numFmtId="0" fontId="6" fillId="3" borderId="2" xfId="0" applyFont="1" applyFill="1" applyBorder="1" applyAlignment="1" applyProtection="1">
      <alignment horizontal="center"/>
      <protection hidden="1"/>
    </xf>
    <xf numFmtId="0" fontId="0" fillId="0" borderId="0" xfId="0" applyAlignment="1" applyProtection="1">
      <alignment horizontal="center"/>
      <protection hidden="1"/>
    </xf>
    <xf numFmtId="0" fontId="1" fillId="4" borderId="1" xfId="0" applyFont="1" applyFill="1" applyBorder="1" applyProtection="1">
      <protection hidden="1"/>
    </xf>
    <xf numFmtId="0" fontId="0" fillId="2" borderId="1" xfId="0" applyFill="1" applyBorder="1" applyAlignment="1" applyProtection="1">
      <alignment horizontal="center"/>
      <protection hidden="1"/>
    </xf>
    <xf numFmtId="0" fontId="0" fillId="3" borderId="2" xfId="0" applyFill="1" applyBorder="1" applyAlignment="1" applyProtection="1">
      <alignment horizontal="center"/>
      <protection hidden="1"/>
    </xf>
    <xf numFmtId="0" fontId="1" fillId="4" borderId="6" xfId="0" applyFont="1" applyFill="1" applyBorder="1" applyProtection="1">
      <protection hidden="1"/>
    </xf>
    <xf numFmtId="0" fontId="6" fillId="4" borderId="7" xfId="0" applyFont="1" applyFill="1" applyBorder="1" applyProtection="1">
      <protection hidden="1"/>
    </xf>
    <xf numFmtId="0" fontId="6" fillId="2" borderId="3" xfId="0" applyFont="1" applyFill="1" applyBorder="1" applyAlignment="1" applyProtection="1">
      <alignment horizontal="center"/>
      <protection hidden="1"/>
    </xf>
    <xf numFmtId="0" fontId="6" fillId="3" borderId="4" xfId="0" applyFont="1" applyFill="1" applyBorder="1" applyAlignment="1" applyProtection="1">
      <alignment horizontal="center"/>
      <protection hidden="1"/>
    </xf>
    <xf numFmtId="0" fontId="0" fillId="0" borderId="15" xfId="0" applyFill="1" applyBorder="1" applyProtection="1">
      <protection hidden="1"/>
    </xf>
    <xf numFmtId="0" fontId="6" fillId="0" borderId="16" xfId="0" applyFont="1" applyFill="1" applyBorder="1" applyAlignment="1" applyProtection="1">
      <alignment horizontal="center"/>
      <protection hidden="1"/>
    </xf>
    <xf numFmtId="0" fontId="1" fillId="4" borderId="3" xfId="0" applyFont="1" applyFill="1" applyBorder="1" applyProtection="1">
      <protection hidden="1"/>
    </xf>
    <xf numFmtId="0" fontId="6" fillId="7" borderId="8" xfId="0" applyFont="1" applyFill="1" applyBorder="1" applyProtection="1">
      <protection hidden="1"/>
    </xf>
    <xf numFmtId="0" fontId="8" fillId="7" borderId="9" xfId="0" applyFont="1" applyFill="1" applyBorder="1" applyProtection="1">
      <protection hidden="1"/>
    </xf>
    <xf numFmtId="0" fontId="8" fillId="7" borderId="10" xfId="0" applyFont="1" applyFill="1" applyBorder="1" applyProtection="1">
      <protection hidden="1"/>
    </xf>
    <xf numFmtId="0" fontId="8" fillId="7" borderId="11" xfId="0" applyFont="1" applyFill="1" applyBorder="1" applyProtection="1">
      <protection hidden="1"/>
    </xf>
    <xf numFmtId="0" fontId="6" fillId="8" borderId="15" xfId="0" applyFont="1" applyFill="1" applyBorder="1" applyProtection="1">
      <protection hidden="1"/>
    </xf>
    <xf numFmtId="0" fontId="6" fillId="8" borderId="16" xfId="0" applyFont="1" applyFill="1" applyBorder="1" applyAlignment="1" applyProtection="1">
      <alignment horizontal="center"/>
      <protection hidden="1"/>
    </xf>
    <xf numFmtId="0" fontId="6" fillId="8" borderId="17" xfId="0" applyFont="1" applyFill="1" applyBorder="1" applyAlignment="1" applyProtection="1">
      <alignment horizontal="center"/>
      <protection hidden="1"/>
    </xf>
    <xf numFmtId="0" fontId="6" fillId="7" borderId="10" xfId="0" applyFont="1" applyFill="1" applyBorder="1" applyProtection="1">
      <protection hidden="1"/>
    </xf>
    <xf numFmtId="0" fontId="9" fillId="6" borderId="5" xfId="0" applyFont="1" applyFill="1" applyBorder="1" applyProtection="1">
      <protection hidden="1"/>
    </xf>
    <xf numFmtId="0" fontId="4" fillId="6" borderId="0" xfId="0" applyFont="1" applyFill="1" applyBorder="1" applyProtection="1">
      <protection hidden="1"/>
    </xf>
    <xf numFmtId="0" fontId="10" fillId="4" borderId="2" xfId="0" applyFont="1" applyFill="1" applyBorder="1" applyAlignment="1" applyProtection="1">
      <alignment horizontal="center"/>
      <protection hidden="1"/>
    </xf>
    <xf numFmtId="0" fontId="0" fillId="0" borderId="0" xfId="0" applyBorder="1" applyProtection="1">
      <protection hidden="1"/>
    </xf>
    <xf numFmtId="0" fontId="11" fillId="9" borderId="0" xfId="0" applyFont="1" applyFill="1" applyBorder="1" applyAlignment="1" applyProtection="1">
      <alignment horizontal="center"/>
      <protection hidden="1"/>
    </xf>
    <xf numFmtId="0" fontId="11" fillId="3" borderId="14" xfId="0" applyFont="1" applyFill="1" applyBorder="1" applyAlignment="1" applyProtection="1">
      <alignment horizontal="center"/>
      <protection hidden="1"/>
    </xf>
    <xf numFmtId="0" fontId="34" fillId="6" borderId="1" xfId="0" applyFont="1" applyFill="1" applyBorder="1" applyProtection="1">
      <protection hidden="1"/>
    </xf>
    <xf numFmtId="0" fontId="14" fillId="6" borderId="5" xfId="0" applyFont="1" applyFill="1" applyBorder="1" applyProtection="1">
      <protection hidden="1"/>
    </xf>
    <xf numFmtId="0" fontId="14" fillId="6" borderId="0" xfId="0" applyFont="1" applyFill="1" applyBorder="1" applyProtection="1">
      <protection hidden="1"/>
    </xf>
    <xf numFmtId="0" fontId="33" fillId="0" borderId="0" xfId="0" applyFont="1" applyBorder="1" applyProtection="1">
      <protection hidden="1"/>
    </xf>
    <xf numFmtId="0" fontId="26" fillId="9" borderId="0" xfId="0" applyFont="1" applyFill="1" applyAlignment="1" applyProtection="1">
      <alignment horizontal="center"/>
      <protection hidden="1"/>
    </xf>
    <xf numFmtId="0" fontId="26" fillId="3" borderId="2" xfId="0" applyFont="1" applyFill="1" applyBorder="1" applyAlignment="1" applyProtection="1">
      <alignment horizontal="center"/>
      <protection hidden="1"/>
    </xf>
    <xf numFmtId="0" fontId="35" fillId="0" borderId="1" xfId="0" applyFont="1" applyFill="1" applyBorder="1" applyAlignment="1" applyProtection="1">
      <alignment horizontal="center"/>
      <protection hidden="1"/>
    </xf>
    <xf numFmtId="0" fontId="14" fillId="6" borderId="1" xfId="0" applyFont="1" applyFill="1" applyBorder="1" applyProtection="1">
      <protection hidden="1"/>
    </xf>
    <xf numFmtId="0" fontId="0" fillId="0" borderId="12" xfId="0" applyFill="1" applyBorder="1" applyProtection="1">
      <protection hidden="1"/>
    </xf>
    <xf numFmtId="0" fontId="26" fillId="0" borderId="13" xfId="0" applyFont="1" applyFill="1" applyBorder="1" applyAlignment="1" applyProtection="1">
      <alignment horizontal="center"/>
      <protection hidden="1"/>
    </xf>
    <xf numFmtId="0" fontId="3" fillId="6" borderId="5" xfId="0" applyFont="1" applyFill="1" applyBorder="1" applyProtection="1">
      <protection hidden="1"/>
    </xf>
    <xf numFmtId="0" fontId="3" fillId="6" borderId="0" xfId="0" applyFont="1" applyFill="1" applyBorder="1" applyProtection="1">
      <protection hidden="1"/>
    </xf>
    <xf numFmtId="0" fontId="0" fillId="0" borderId="0" xfId="0" applyFill="1" applyBorder="1" applyProtection="1">
      <protection hidden="1"/>
    </xf>
    <xf numFmtId="0" fontId="12" fillId="9" borderId="0" xfId="0" applyFont="1" applyFill="1" applyBorder="1" applyAlignment="1" applyProtection="1">
      <alignment horizontal="center"/>
      <protection hidden="1"/>
    </xf>
    <xf numFmtId="0" fontId="12" fillId="3" borderId="2" xfId="0" applyFont="1" applyFill="1" applyBorder="1" applyAlignment="1" applyProtection="1">
      <alignment horizontal="center"/>
      <protection hidden="1"/>
    </xf>
    <xf numFmtId="0" fontId="35" fillId="0" borderId="0" xfId="0" applyFont="1" applyFill="1" applyProtection="1">
      <protection hidden="1"/>
    </xf>
    <xf numFmtId="0" fontId="3" fillId="6" borderId="1" xfId="0" applyFont="1" applyFill="1" applyBorder="1" applyProtection="1">
      <protection hidden="1"/>
    </xf>
    <xf numFmtId="0" fontId="0" fillId="0" borderId="1" xfId="0" applyFill="1" applyBorder="1" applyProtection="1">
      <protection hidden="1"/>
    </xf>
    <xf numFmtId="0" fontId="12" fillId="0" borderId="0" xfId="0" applyFont="1" applyFill="1" applyBorder="1" applyAlignment="1" applyProtection="1">
      <alignment horizontal="center"/>
      <protection hidden="1"/>
    </xf>
    <xf numFmtId="0" fontId="13" fillId="6" borderId="6" xfId="0" applyFont="1" applyFill="1" applyBorder="1" applyProtection="1">
      <protection hidden="1"/>
    </xf>
    <xf numFmtId="0" fontId="13" fillId="6" borderId="7" xfId="0" applyFont="1" applyFill="1" applyBorder="1" applyProtection="1">
      <protection hidden="1"/>
    </xf>
    <xf numFmtId="0" fontId="10" fillId="4" borderId="4" xfId="0" applyFont="1" applyFill="1" applyBorder="1" applyAlignment="1" applyProtection="1">
      <alignment horizontal="center"/>
      <protection hidden="1"/>
    </xf>
    <xf numFmtId="0" fontId="20" fillId="9" borderId="0" xfId="0" applyFont="1" applyFill="1" applyBorder="1" applyAlignment="1" applyProtection="1">
      <alignment horizontal="center"/>
      <protection hidden="1"/>
    </xf>
    <xf numFmtId="0" fontId="20" fillId="3" borderId="17" xfId="0" applyFont="1" applyFill="1" applyBorder="1" applyAlignment="1" applyProtection="1">
      <alignment horizontal="center"/>
      <protection hidden="1"/>
    </xf>
    <xf numFmtId="0" fontId="13" fillId="6" borderId="3" xfId="0" applyFont="1" applyFill="1" applyBorder="1" applyProtection="1">
      <protection hidden="1"/>
    </xf>
    <xf numFmtId="0" fontId="20" fillId="0" borderId="0" xfId="0" applyFont="1" applyFill="1" applyBorder="1" applyAlignment="1" applyProtection="1">
      <alignment horizontal="center"/>
      <protection hidden="1"/>
    </xf>
    <xf numFmtId="0" fontId="6" fillId="6" borderId="0" xfId="0" applyFont="1" applyFill="1" applyProtection="1">
      <protection hidden="1"/>
    </xf>
    <xf numFmtId="0" fontId="0" fillId="6" borderId="0" xfId="0" applyFill="1" applyProtection="1">
      <protection hidden="1"/>
    </xf>
    <xf numFmtId="0" fontId="0" fillId="6" borderId="18" xfId="0" applyFill="1" applyBorder="1" applyProtection="1">
      <protection hidden="1"/>
    </xf>
    <xf numFmtId="0" fontId="8" fillId="0" borderId="13" xfId="0" applyFont="1" applyFill="1" applyBorder="1" applyAlignment="1" applyProtection="1">
      <alignment horizontal="center"/>
      <protection hidden="1"/>
    </xf>
    <xf numFmtId="0" fontId="0" fillId="0" borderId="13" xfId="0" applyFill="1" applyBorder="1" applyAlignment="1" applyProtection="1">
      <alignment horizontal="center"/>
      <protection hidden="1"/>
    </xf>
    <xf numFmtId="0" fontId="6" fillId="6" borderId="1" xfId="0" applyFont="1" applyFill="1" applyBorder="1" applyProtection="1">
      <protection hidden="1"/>
    </xf>
    <xf numFmtId="0" fontId="8" fillId="0" borderId="0" xfId="0" applyFont="1" applyFill="1" applyBorder="1" applyAlignment="1" applyProtection="1">
      <alignment horizontal="center"/>
      <protection hidden="1"/>
    </xf>
    <xf numFmtId="0" fontId="0" fillId="0" borderId="0" xfId="0" applyFill="1" applyBorder="1" applyAlignment="1" applyProtection="1">
      <alignment horizontal="center"/>
      <protection hidden="1"/>
    </xf>
    <xf numFmtId="0" fontId="6" fillId="4" borderId="13" xfId="0" applyFont="1" applyFill="1" applyBorder="1" applyProtection="1">
      <protection hidden="1"/>
    </xf>
    <xf numFmtId="0" fontId="0" fillId="4" borderId="13" xfId="0" applyFill="1" applyBorder="1" applyProtection="1">
      <protection hidden="1"/>
    </xf>
    <xf numFmtId="0" fontId="0" fillId="4" borderId="12" xfId="0" applyFill="1" applyBorder="1" applyProtection="1">
      <protection hidden="1"/>
    </xf>
    <xf numFmtId="0" fontId="0" fillId="4" borderId="14" xfId="0" applyFill="1" applyBorder="1" applyProtection="1">
      <protection hidden="1"/>
    </xf>
    <xf numFmtId="0" fontId="6" fillId="4" borderId="12" xfId="0" applyFont="1" applyFill="1" applyBorder="1" applyProtection="1">
      <protection hidden="1"/>
    </xf>
    <xf numFmtId="0" fontId="5" fillId="4" borderId="0" xfId="0" applyFont="1" applyFill="1" applyProtection="1">
      <protection hidden="1"/>
    </xf>
    <xf numFmtId="0" fontId="3" fillId="4" borderId="1" xfId="0" applyFont="1" applyFill="1" applyBorder="1" applyProtection="1">
      <protection hidden="1"/>
    </xf>
    <xf numFmtId="0" fontId="0" fillId="4" borderId="2" xfId="0" applyFill="1" applyBorder="1" applyProtection="1">
      <protection hidden="1"/>
    </xf>
    <xf numFmtId="0" fontId="5" fillId="4" borderId="1" xfId="0" applyFont="1" applyFill="1" applyBorder="1" applyProtection="1">
      <protection hidden="1"/>
    </xf>
    <xf numFmtId="0" fontId="28" fillId="5" borderId="1" xfId="0" applyFont="1" applyFill="1" applyBorder="1" applyAlignment="1" applyProtection="1">
      <alignment horizontal="center"/>
      <protection hidden="1"/>
    </xf>
    <xf numFmtId="0" fontId="27" fillId="5" borderId="2" xfId="0" applyFont="1" applyFill="1" applyBorder="1" applyAlignment="1" applyProtection="1">
      <alignment horizontal="center"/>
      <protection hidden="1"/>
    </xf>
    <xf numFmtId="0" fontId="6" fillId="8" borderId="19" xfId="0" applyFont="1" applyFill="1" applyBorder="1" applyProtection="1">
      <protection hidden="1"/>
    </xf>
    <xf numFmtId="0" fontId="6" fillId="8" borderId="20" xfId="0" applyFont="1" applyFill="1" applyBorder="1" applyAlignment="1" applyProtection="1">
      <alignment horizontal="center"/>
      <protection hidden="1"/>
    </xf>
    <xf numFmtId="0" fontId="6" fillId="8" borderId="21" xfId="0" applyFont="1" applyFill="1" applyBorder="1" applyAlignment="1" applyProtection="1">
      <alignment horizontal="center"/>
      <protection hidden="1"/>
    </xf>
    <xf numFmtId="0" fontId="12" fillId="2" borderId="1" xfId="0" applyFont="1" applyFill="1" applyBorder="1" applyAlignment="1" applyProtection="1">
      <alignment horizontal="center"/>
      <protection hidden="1"/>
    </xf>
    <xf numFmtId="0" fontId="0" fillId="0" borderId="19" xfId="0" applyBorder="1" applyProtection="1">
      <protection hidden="1"/>
    </xf>
    <xf numFmtId="0" fontId="12" fillId="3" borderId="14" xfId="0" applyFont="1" applyFill="1" applyBorder="1" applyAlignment="1" applyProtection="1">
      <alignment horizontal="center"/>
      <protection hidden="1"/>
    </xf>
    <xf numFmtId="0" fontId="0" fillId="0" borderId="13" xfId="0" applyFill="1" applyBorder="1" applyProtection="1">
      <protection hidden="1"/>
    </xf>
    <xf numFmtId="0" fontId="7" fillId="4" borderId="0" xfId="0" applyFont="1" applyFill="1" applyProtection="1">
      <protection hidden="1"/>
    </xf>
    <xf numFmtId="0" fontId="4" fillId="2" borderId="1" xfId="0" applyFont="1" applyFill="1" applyBorder="1" applyAlignment="1" applyProtection="1">
      <alignment horizontal="center"/>
      <protection hidden="1"/>
    </xf>
    <xf numFmtId="0" fontId="7" fillId="4" borderId="1" xfId="0" applyFont="1" applyFill="1" applyBorder="1" applyProtection="1">
      <protection hidden="1"/>
    </xf>
    <xf numFmtId="0" fontId="27" fillId="5" borderId="1" xfId="0" applyFont="1" applyFill="1" applyBorder="1" applyAlignment="1" applyProtection="1">
      <alignment horizontal="center"/>
      <protection hidden="1"/>
    </xf>
    <xf numFmtId="0" fontId="11" fillId="2" borderId="1" xfId="0" applyFont="1" applyFill="1" applyBorder="1" applyAlignment="1" applyProtection="1">
      <alignment horizontal="center"/>
      <protection hidden="1"/>
    </xf>
    <xf numFmtId="0" fontId="11" fillId="3" borderId="2" xfId="0" applyFont="1" applyFill="1" applyBorder="1" applyAlignment="1" applyProtection="1">
      <alignment horizontal="center"/>
      <protection hidden="1"/>
    </xf>
    <xf numFmtId="0" fontId="4" fillId="4" borderId="1" xfId="0" applyFont="1" applyFill="1" applyBorder="1" applyProtection="1">
      <protection hidden="1"/>
    </xf>
    <xf numFmtId="0" fontId="4" fillId="4" borderId="0" xfId="0" applyFont="1" applyFill="1" applyProtection="1">
      <protection hidden="1"/>
    </xf>
    <xf numFmtId="0" fontId="16" fillId="4" borderId="0" xfId="0" applyFont="1" applyFill="1" applyProtection="1">
      <protection hidden="1"/>
    </xf>
    <xf numFmtId="0" fontId="16" fillId="4" borderId="1" xfId="0" applyFont="1" applyFill="1" applyBorder="1" applyProtection="1">
      <protection hidden="1"/>
    </xf>
    <xf numFmtId="0" fontId="19" fillId="4" borderId="0" xfId="0" applyFont="1" applyFill="1" applyProtection="1">
      <protection hidden="1"/>
    </xf>
    <xf numFmtId="0" fontId="20" fillId="2" borderId="1" xfId="0" applyFont="1" applyFill="1" applyBorder="1" applyAlignment="1" applyProtection="1">
      <alignment horizontal="center"/>
      <protection hidden="1"/>
    </xf>
    <xf numFmtId="0" fontId="20" fillId="3" borderId="2" xfId="0" applyFont="1" applyFill="1" applyBorder="1" applyAlignment="1" applyProtection="1">
      <alignment horizontal="center"/>
      <protection hidden="1"/>
    </xf>
    <xf numFmtId="0" fontId="20" fillId="3" borderId="14" xfId="0" applyFont="1" applyFill="1" applyBorder="1" applyAlignment="1" applyProtection="1">
      <alignment horizontal="center"/>
      <protection hidden="1"/>
    </xf>
    <xf numFmtId="0" fontId="17" fillId="4" borderId="0" xfId="0" applyFont="1" applyFill="1" applyProtection="1">
      <protection hidden="1"/>
    </xf>
    <xf numFmtId="0" fontId="17" fillId="4" borderId="1" xfId="0" applyFont="1" applyFill="1" applyBorder="1" applyProtection="1">
      <protection hidden="1"/>
    </xf>
    <xf numFmtId="0" fontId="18" fillId="4" borderId="2" xfId="0" applyFont="1" applyFill="1" applyBorder="1" applyProtection="1">
      <protection hidden="1"/>
    </xf>
    <xf numFmtId="0" fontId="26" fillId="2" borderId="0" xfId="0" applyFont="1" applyFill="1" applyBorder="1" applyAlignment="1" applyProtection="1">
      <alignment horizontal="center"/>
      <protection hidden="1"/>
    </xf>
    <xf numFmtId="0" fontId="26" fillId="2" borderId="1" xfId="0" applyFont="1" applyFill="1" applyBorder="1" applyAlignment="1" applyProtection="1">
      <alignment horizontal="center"/>
      <protection hidden="1"/>
    </xf>
    <xf numFmtId="0" fontId="14" fillId="0" borderId="19" xfId="0" applyFont="1" applyBorder="1" applyProtection="1">
      <protection hidden="1"/>
    </xf>
    <xf numFmtId="0" fontId="35" fillId="0" borderId="1" xfId="0" applyFont="1" applyFill="1" applyBorder="1" applyProtection="1">
      <protection hidden="1"/>
    </xf>
    <xf numFmtId="0" fontId="17" fillId="4" borderId="7" xfId="0" applyFont="1" applyFill="1" applyBorder="1" applyProtection="1">
      <protection hidden="1"/>
    </xf>
    <xf numFmtId="0" fontId="0" fillId="2" borderId="3" xfId="0" applyFill="1" applyBorder="1" applyAlignment="1" applyProtection="1">
      <alignment horizontal="center"/>
      <protection hidden="1"/>
    </xf>
    <xf numFmtId="0" fontId="0" fillId="3" borderId="4" xfId="0" applyFill="1" applyBorder="1" applyAlignment="1" applyProtection="1">
      <alignment horizontal="center"/>
      <protection hidden="1"/>
    </xf>
    <xf numFmtId="0" fontId="6" fillId="7" borderId="13" xfId="0" applyFont="1" applyFill="1" applyBorder="1" applyProtection="1">
      <protection hidden="1"/>
    </xf>
    <xf numFmtId="0" fontId="8" fillId="7" borderId="13" xfId="0" applyFont="1" applyFill="1" applyBorder="1" applyProtection="1">
      <protection hidden="1"/>
    </xf>
    <xf numFmtId="0" fontId="0" fillId="7" borderId="13" xfId="0" applyFill="1" applyBorder="1" applyProtection="1">
      <protection hidden="1"/>
    </xf>
    <xf numFmtId="0" fontId="0" fillId="7" borderId="14" xfId="0" applyFill="1" applyBorder="1" applyProtection="1">
      <protection hidden="1"/>
    </xf>
    <xf numFmtId="0" fontId="0" fillId="0" borderId="1" xfId="0" applyFill="1" applyBorder="1" applyAlignment="1" applyProtection="1">
      <protection hidden="1"/>
    </xf>
    <xf numFmtId="0" fontId="6" fillId="7" borderId="12" xfId="0" applyFont="1" applyFill="1" applyBorder="1" applyProtection="1">
      <protection hidden="1"/>
    </xf>
    <xf numFmtId="0" fontId="5" fillId="6" borderId="0" xfId="0" applyFont="1" applyFill="1" applyBorder="1" applyProtection="1">
      <protection hidden="1"/>
    </xf>
    <xf numFmtId="0" fontId="5" fillId="6" borderId="1" xfId="0" applyFont="1" applyFill="1" applyBorder="1" applyProtection="1">
      <protection hidden="1"/>
    </xf>
    <xf numFmtId="0" fontId="26" fillId="0" borderId="0" xfId="0" applyFont="1" applyFill="1" applyBorder="1" applyAlignment="1" applyProtection="1">
      <alignment horizontal="center"/>
      <protection hidden="1"/>
    </xf>
    <xf numFmtId="0" fontId="7" fillId="6" borderId="0" xfId="0" applyFont="1" applyFill="1" applyProtection="1">
      <protection hidden="1"/>
    </xf>
    <xf numFmtId="0" fontId="4" fillId="6" borderId="0" xfId="0" applyFont="1" applyFill="1" applyProtection="1">
      <protection hidden="1"/>
    </xf>
    <xf numFmtId="0" fontId="4" fillId="4" borderId="2" xfId="0" applyFont="1" applyFill="1" applyBorder="1" applyAlignment="1" applyProtection="1">
      <alignment horizontal="center"/>
      <protection hidden="1"/>
    </xf>
    <xf numFmtId="0" fontId="7" fillId="6" borderId="1" xfId="0" applyFont="1" applyFill="1" applyBorder="1" applyProtection="1">
      <protection hidden="1"/>
    </xf>
    <xf numFmtId="0" fontId="0" fillId="5" borderId="9" xfId="0" applyFill="1" applyBorder="1" applyProtection="1">
      <protection hidden="1"/>
    </xf>
    <xf numFmtId="0" fontId="27" fillId="5" borderId="1" xfId="0" applyFont="1" applyFill="1" applyBorder="1" applyProtection="1">
      <protection hidden="1"/>
    </xf>
    <xf numFmtId="0" fontId="27" fillId="5" borderId="2" xfId="0" applyFont="1" applyFill="1" applyBorder="1" applyProtection="1">
      <protection hidden="1"/>
    </xf>
    <xf numFmtId="0" fontId="0" fillId="5" borderId="10" xfId="0" applyFill="1" applyBorder="1" applyProtection="1">
      <protection hidden="1"/>
    </xf>
    <xf numFmtId="0" fontId="5" fillId="4" borderId="0" xfId="0" applyFont="1" applyFill="1" applyBorder="1" applyProtection="1">
      <protection hidden="1"/>
    </xf>
    <xf numFmtId="0" fontId="30" fillId="4" borderId="0" xfId="0" applyFont="1" applyFill="1" applyBorder="1" applyProtection="1">
      <protection hidden="1"/>
    </xf>
    <xf numFmtId="0" fontId="5" fillId="4" borderId="7" xfId="0" applyFont="1" applyFill="1" applyBorder="1" applyProtection="1">
      <protection hidden="1"/>
    </xf>
    <xf numFmtId="0" fontId="0" fillId="2" borderId="15" xfId="0" applyFill="1" applyBorder="1" applyProtection="1">
      <protection hidden="1"/>
    </xf>
    <xf numFmtId="0" fontId="0" fillId="3" borderId="17" xfId="0" applyFill="1" applyBorder="1" applyProtection="1">
      <protection hidden="1"/>
    </xf>
    <xf numFmtId="0" fontId="0" fillId="0" borderId="2" xfId="0" applyBorder="1" applyProtection="1">
      <protection hidden="1"/>
    </xf>
    <xf numFmtId="0" fontId="5" fillId="4" borderId="3" xfId="0" applyFont="1" applyFill="1" applyBorder="1" applyProtection="1">
      <protection hidden="1"/>
    </xf>
    <xf numFmtId="0" fontId="0" fillId="0" borderId="12" xfId="0" applyBorder="1" applyProtection="1">
      <protection hidden="1"/>
    </xf>
    <xf numFmtId="0" fontId="0" fillId="0" borderId="13" xfId="0" applyBorder="1" applyProtection="1">
      <protection hidden="1"/>
    </xf>
    <xf numFmtId="0" fontId="0" fillId="0" borderId="14" xfId="0" applyBorder="1" applyProtection="1">
      <protection hidden="1"/>
    </xf>
    <xf numFmtId="0" fontId="0" fillId="0" borderId="15" xfId="0" applyBorder="1" applyProtection="1">
      <protection hidden="1"/>
    </xf>
    <xf numFmtId="0" fontId="0" fillId="0" borderId="16" xfId="0" applyBorder="1" applyProtection="1">
      <protection hidden="1"/>
    </xf>
    <xf numFmtId="0" fontId="0" fillId="0" borderId="17" xfId="0" applyBorder="1" applyProtection="1">
      <protection hidden="1"/>
    </xf>
    <xf numFmtId="0" fontId="6" fillId="6" borderId="15" xfId="0" applyFont="1" applyFill="1" applyBorder="1" applyProtection="1">
      <protection hidden="1"/>
    </xf>
    <xf numFmtId="0" fontId="29" fillId="0" borderId="0" xfId="0" applyFont="1" applyFill="1" applyBorder="1" applyProtection="1">
      <protection hidden="1"/>
    </xf>
    <xf numFmtId="0" fontId="33" fillId="0" borderId="0" xfId="0" applyFont="1" applyFill="1" applyBorder="1" applyAlignment="1" applyProtection="1">
      <alignment horizontal="center"/>
      <protection hidden="1"/>
    </xf>
    <xf numFmtId="0" fontId="8" fillId="0" borderId="0" xfId="0" applyFont="1" applyFill="1" applyBorder="1" applyProtection="1">
      <protection hidden="1"/>
    </xf>
    <xf numFmtId="0" fontId="6" fillId="0" borderId="0" xfId="0" applyFont="1" applyFill="1" applyBorder="1" applyAlignment="1" applyProtection="1">
      <alignment horizontal="center"/>
      <protection hidden="1"/>
    </xf>
    <xf numFmtId="0" fontId="29" fillId="0" borderId="0" xfId="0" applyFont="1" applyFill="1" applyBorder="1" applyAlignment="1" applyProtection="1">
      <alignment horizontal="center"/>
      <protection hidden="1"/>
    </xf>
    <xf numFmtId="0" fontId="4" fillId="0" borderId="0" xfId="0" applyFont="1" applyFill="1" applyBorder="1" applyProtection="1">
      <protection hidden="1"/>
    </xf>
    <xf numFmtId="0" fontId="4" fillId="0" borderId="0" xfId="0" applyFont="1" applyFill="1" applyBorder="1" applyAlignment="1" applyProtection="1">
      <alignment horizontal="center"/>
      <protection hidden="1"/>
    </xf>
    <xf numFmtId="0" fontId="11" fillId="0" borderId="0" xfId="0" applyFont="1" applyFill="1" applyBorder="1" applyAlignment="1" applyProtection="1">
      <alignment horizontal="center"/>
      <protection hidden="1"/>
    </xf>
    <xf numFmtId="0" fontId="35" fillId="0" borderId="0" xfId="0" applyFont="1" applyFill="1" applyBorder="1" applyProtection="1">
      <protection hidden="1"/>
    </xf>
    <xf numFmtId="0" fontId="3" fillId="0" borderId="0" xfId="0" applyFont="1" applyFill="1" applyBorder="1" applyAlignment="1" applyProtection="1">
      <alignment horizontal="center"/>
      <protection hidden="1"/>
    </xf>
    <xf numFmtId="0" fontId="35" fillId="0" borderId="0" xfId="0" applyFont="1" applyFill="1" applyBorder="1" applyAlignment="1" applyProtection="1">
      <alignment horizontal="center"/>
      <protection hidden="1"/>
    </xf>
    <xf numFmtId="0" fontId="30" fillId="0" borderId="0" xfId="0" applyFont="1" applyFill="1" applyBorder="1" applyAlignment="1" applyProtection="1">
      <alignment horizontal="center"/>
      <protection hidden="1"/>
    </xf>
    <xf numFmtId="0" fontId="1" fillId="0" borderId="0" xfId="0" applyFont="1" applyFill="1" applyBorder="1" applyAlignment="1" applyProtection="1">
      <alignment horizontal="center"/>
      <protection hidden="1"/>
    </xf>
    <xf numFmtId="0" fontId="19" fillId="0" borderId="0" xfId="0" applyFont="1" applyFill="1" applyBorder="1" applyAlignment="1" applyProtection="1">
      <alignment horizontal="center"/>
      <protection hidden="1"/>
    </xf>
    <xf numFmtId="0" fontId="27" fillId="0" borderId="0" xfId="0" applyFont="1" applyFill="1" applyBorder="1" applyAlignment="1" applyProtection="1">
      <alignment horizontal="center"/>
      <protection hidden="1"/>
    </xf>
    <xf numFmtId="0" fontId="1" fillId="0" borderId="0" xfId="0" applyFont="1" applyFill="1" applyBorder="1" applyProtection="1">
      <protection hidden="1"/>
    </xf>
    <xf numFmtId="0" fontId="34" fillId="0" borderId="0" xfId="0" applyFont="1" applyFill="1" applyBorder="1" applyAlignment="1" applyProtection="1">
      <alignment horizontal="center"/>
      <protection hidden="1"/>
    </xf>
    <xf numFmtId="0" fontId="11" fillId="6" borderId="1" xfId="0" applyFont="1" applyFill="1" applyBorder="1" applyAlignment="1" applyProtection="1">
      <alignment horizontal="center"/>
      <protection locked="0" hidden="1"/>
    </xf>
    <xf numFmtId="0" fontId="11" fillId="6" borderId="2" xfId="0" applyFont="1" applyFill="1" applyBorder="1" applyAlignment="1" applyProtection="1">
      <alignment horizontal="center"/>
      <protection locked="0" hidden="1"/>
    </xf>
    <xf numFmtId="0" fontId="25" fillId="6" borderId="1" xfId="0" applyFont="1" applyFill="1" applyBorder="1" applyAlignment="1" applyProtection="1">
      <alignment horizontal="center"/>
      <protection locked="0" hidden="1"/>
    </xf>
    <xf numFmtId="0" fontId="26" fillId="6" borderId="0" xfId="0" applyFont="1" applyFill="1" applyBorder="1" applyAlignment="1" applyProtection="1">
      <alignment horizontal="center"/>
      <protection locked="0" hidden="1"/>
    </xf>
    <xf numFmtId="0" fontId="24" fillId="6" borderId="1" xfId="0" applyFont="1" applyFill="1" applyBorder="1" applyAlignment="1" applyProtection="1">
      <alignment horizontal="center"/>
      <protection locked="0" hidden="1"/>
    </xf>
    <xf numFmtId="0" fontId="12" fillId="6" borderId="0" xfId="0" applyFont="1" applyFill="1" applyBorder="1" applyAlignment="1" applyProtection="1">
      <alignment horizontal="center"/>
      <protection locked="0" hidden="1"/>
    </xf>
    <xf numFmtId="0" fontId="22" fillId="6" borderId="3" xfId="0" applyFont="1" applyFill="1" applyBorder="1" applyAlignment="1" applyProtection="1">
      <alignment horizontal="center"/>
      <protection locked="0" hidden="1"/>
    </xf>
    <xf numFmtId="0" fontId="20" fillId="6" borderId="7" xfId="0" applyFont="1" applyFill="1" applyBorder="1" applyAlignment="1" applyProtection="1">
      <alignment horizontal="center"/>
      <protection locked="0" hidden="1"/>
    </xf>
    <xf numFmtId="0" fontId="12" fillId="6" borderId="1" xfId="0" applyFont="1" applyFill="1" applyBorder="1" applyAlignment="1" applyProtection="1">
      <alignment horizontal="center"/>
      <protection locked="0" hidden="1"/>
    </xf>
    <xf numFmtId="0" fontId="12" fillId="6" borderId="2" xfId="0" applyFont="1" applyFill="1" applyBorder="1" applyAlignment="1" applyProtection="1">
      <alignment horizontal="center"/>
      <protection locked="0" hidden="1"/>
    </xf>
    <xf numFmtId="0" fontId="6" fillId="4" borderId="3" xfId="0" applyFont="1" applyFill="1" applyBorder="1" applyProtection="1">
      <protection hidden="1"/>
    </xf>
    <xf numFmtId="0" fontId="1" fillId="4" borderId="4" xfId="0" applyFont="1" applyFill="1" applyBorder="1" applyAlignment="1" applyProtection="1">
      <alignment horizontal="center"/>
      <protection hidden="1"/>
    </xf>
    <xf numFmtId="0" fontId="9" fillId="6" borderId="1" xfId="0" applyFont="1" applyFill="1" applyBorder="1" applyProtection="1">
      <protection hidden="1"/>
    </xf>
    <xf numFmtId="0" fontId="26" fillId="3" borderId="0" xfId="0" applyFont="1" applyFill="1" applyAlignment="1" applyProtection="1">
      <alignment horizontal="center"/>
      <protection hidden="1"/>
    </xf>
    <xf numFmtId="0" fontId="0" fillId="6" borderId="0" xfId="0" applyFill="1" applyBorder="1" applyProtection="1">
      <protection hidden="1"/>
    </xf>
    <xf numFmtId="0" fontId="7" fillId="4" borderId="0" xfId="0" applyFont="1" applyFill="1" applyBorder="1" applyProtection="1">
      <protection hidden="1"/>
    </xf>
    <xf numFmtId="0" fontId="4" fillId="4" borderId="0" xfId="0" applyFont="1" applyFill="1" applyBorder="1" applyProtection="1">
      <protection hidden="1"/>
    </xf>
    <xf numFmtId="0" fontId="19" fillId="4" borderId="0" xfId="0" applyFont="1" applyFill="1" applyBorder="1" applyProtection="1">
      <protection hidden="1"/>
    </xf>
    <xf numFmtId="0" fontId="17" fillId="4" borderId="0" xfId="0" applyFont="1" applyFill="1" applyBorder="1" applyProtection="1">
      <protection hidden="1"/>
    </xf>
    <xf numFmtId="0" fontId="17" fillId="4" borderId="3" xfId="0" applyFont="1" applyFill="1" applyBorder="1" applyProtection="1">
      <protection hidden="1"/>
    </xf>
    <xf numFmtId="0" fontId="0" fillId="0" borderId="1" xfId="0" applyBorder="1" applyProtection="1">
      <protection hidden="1"/>
    </xf>
    <xf numFmtId="0" fontId="0" fillId="6" borderId="16" xfId="0" applyFill="1" applyBorder="1" applyProtection="1">
      <protection hidden="1"/>
    </xf>
    <xf numFmtId="0" fontId="0" fillId="6" borderId="17" xfId="0" applyFill="1" applyBorder="1" applyProtection="1">
      <protection hidden="1"/>
    </xf>
    <xf numFmtId="0" fontId="36" fillId="0" borderId="0" xfId="0" applyFont="1" applyFill="1" applyBorder="1" applyAlignment="1" applyProtection="1">
      <alignment horizontal="center"/>
      <protection hidden="1"/>
    </xf>
    <xf numFmtId="0" fontId="1" fillId="10" borderId="0" xfId="0" applyFont="1" applyFill="1" applyProtection="1">
      <protection hidden="1"/>
    </xf>
    <xf numFmtId="0" fontId="1" fillId="10" borderId="0" xfId="0" applyFont="1" applyFill="1" applyAlignment="1" applyProtection="1">
      <alignment horizontal="center"/>
      <protection hidden="1"/>
    </xf>
    <xf numFmtId="0" fontId="33" fillId="0" borderId="19" xfId="0" applyFont="1" applyBorder="1" applyProtection="1">
      <protection hidden="1"/>
    </xf>
    <xf numFmtId="0" fontId="0" fillId="0" borderId="0" xfId="0" applyFill="1"/>
    <xf numFmtId="0" fontId="38" fillId="11" borderId="0" xfId="1" applyFill="1"/>
    <xf numFmtId="0" fontId="37" fillId="11" borderId="0" xfId="0" applyFont="1" applyFill="1"/>
  </cellXfs>
  <cellStyles count="2">
    <cellStyle name="Link" xfId="1" builtinId="8"/>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0</xdr:col>
      <xdr:colOff>60960</xdr:colOff>
      <xdr:row>0</xdr:row>
      <xdr:rowOff>121920</xdr:rowOff>
    </xdr:from>
    <xdr:ext cx="5622290" cy="6776599"/>
    <xdr:sp macro="" textlink="">
      <xdr:nvSpPr>
        <xdr:cNvPr id="2" name="Textfeld 1">
          <a:extLst>
            <a:ext uri="{FF2B5EF4-FFF2-40B4-BE49-F238E27FC236}">
              <a16:creationId xmlns:a16="http://schemas.microsoft.com/office/drawing/2014/main" id="{02EA9540-B205-410E-9CD6-F0B609374627}"/>
            </a:ext>
          </a:extLst>
        </xdr:cNvPr>
        <xdr:cNvSpPr txBox="1"/>
      </xdr:nvSpPr>
      <xdr:spPr>
        <a:xfrm>
          <a:off x="60960" y="121920"/>
          <a:ext cx="5622290" cy="67765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spcAft>
              <a:spcPts val="0"/>
            </a:spcAft>
          </a:pPr>
          <a:r>
            <a:rPr lang="de-CH" sz="1100" b="1">
              <a:effectLst/>
              <a:latin typeface="Arial" panose="020B0604020202020204" pitchFamily="34" charset="0"/>
              <a:ea typeface="Times New Roman" panose="02020603050405020304" pitchFamily="18" charset="0"/>
            </a:rPr>
            <a:t>ÜBERLEBENSCHANCEN UND RESTLEBENSZEIT</a:t>
          </a:r>
          <a:endParaRPr lang="de-CH" sz="1200">
            <a:effectLst/>
            <a:latin typeface="Times New Roman" panose="02020603050405020304" pitchFamily="18" charset="0"/>
            <a:ea typeface="Times New Roman" panose="02020603050405020304" pitchFamily="18" charset="0"/>
          </a:endParaRPr>
        </a:p>
        <a:p>
          <a:pPr>
            <a:spcAft>
              <a:spcPts val="0"/>
            </a:spcAft>
          </a:pPr>
          <a:r>
            <a:rPr lang="de-CH" sz="1100" b="1">
              <a:effectLst/>
              <a:latin typeface="Arial" panose="020B0604020202020204" pitchFamily="34" charset="0"/>
              <a:ea typeface="Times New Roman" panose="02020603050405020304" pitchFamily="18" charset="0"/>
            </a:rPr>
            <a:t> </a:t>
          </a:r>
          <a:endParaRPr lang="de-CH" sz="1200">
            <a:effectLst/>
            <a:latin typeface="Times New Roman" panose="02020603050405020304" pitchFamily="18" charset="0"/>
            <a:ea typeface="Times New Roman" panose="02020603050405020304" pitchFamily="18" charset="0"/>
          </a:endParaRPr>
        </a:p>
        <a:p>
          <a:pPr>
            <a:spcAft>
              <a:spcPts val="0"/>
            </a:spcAft>
          </a:pPr>
          <a:r>
            <a:rPr lang="de-CH" sz="1100" b="1">
              <a:effectLst/>
              <a:latin typeface="Arial" panose="020B0604020202020204" pitchFamily="34" charset="0"/>
              <a:ea typeface="Times New Roman" panose="02020603050405020304" pitchFamily="18" charset="0"/>
            </a:rPr>
            <a:t>POPULATIONEN JAPAN (J), DEUTSCHLAND (D), FRANKREICH (F)</a:t>
          </a:r>
          <a:endParaRPr lang="de-CH" sz="1200">
            <a:effectLst/>
            <a:latin typeface="Times New Roman" panose="02020603050405020304" pitchFamily="18" charset="0"/>
            <a:ea typeface="Times New Roman" panose="02020603050405020304" pitchFamily="18" charset="0"/>
          </a:endParaRPr>
        </a:p>
        <a:p>
          <a:pPr>
            <a:spcAft>
              <a:spcPts val="0"/>
            </a:spcAft>
          </a:pPr>
          <a:r>
            <a:rPr lang="de-CH" sz="1100" b="1">
              <a:effectLst/>
              <a:latin typeface="Arial" panose="020B0604020202020204" pitchFamily="34" charset="0"/>
              <a:ea typeface="Times New Roman" panose="02020603050405020304" pitchFamily="18" charset="0"/>
            </a:rPr>
            <a:t> </a:t>
          </a:r>
          <a:endParaRPr lang="de-CH" sz="1200">
            <a:effectLst/>
            <a:latin typeface="Times New Roman" panose="02020603050405020304" pitchFamily="18" charset="0"/>
            <a:ea typeface="Times New Roman" panose="02020603050405020304" pitchFamily="18" charset="0"/>
          </a:endParaRPr>
        </a:p>
        <a:p>
          <a:pPr>
            <a:spcAft>
              <a:spcPts val="0"/>
            </a:spcAft>
          </a:pPr>
          <a:r>
            <a:rPr lang="de-CH" sz="1100">
              <a:effectLst/>
              <a:latin typeface="Arial" panose="020B0604020202020204" pitchFamily="34" charset="0"/>
              <a:ea typeface="Times New Roman" panose="02020603050405020304" pitchFamily="18" charset="0"/>
            </a:rPr>
            <a:t>Die vorliegenden Rechenmodelle basieren auf den Rohdaten von </a:t>
          </a:r>
          <a:r>
            <a:rPr lang="de-CH" sz="1100" u="sng">
              <a:solidFill>
                <a:srgbClr val="0000FF"/>
              </a:solidFill>
              <a:effectLst/>
              <a:latin typeface="Arial" panose="020B0604020202020204" pitchFamily="34" charset="0"/>
              <a:ea typeface="Times New Roman" panose="02020603050405020304" pitchFamily="18" charset="0"/>
              <a:hlinkClick xmlns:r="http://schemas.openxmlformats.org/officeDocument/2006/relationships" r:id=""/>
            </a:rPr>
            <a:t>www.mortality.org</a:t>
          </a:r>
          <a:r>
            <a:rPr lang="de-CH" sz="1000">
              <a:solidFill>
                <a:srgbClr val="FF0000"/>
              </a:solidFill>
              <a:effectLst/>
              <a:latin typeface="Arial" panose="020B0604020202020204" pitchFamily="34" charset="0"/>
              <a:ea typeface="Times New Roman" panose="02020603050405020304" pitchFamily="18" charset="0"/>
            </a:rPr>
            <a:t>.***</a:t>
          </a:r>
          <a:endParaRPr lang="de-CH" sz="1000">
            <a:solidFill>
              <a:srgbClr val="FF0000"/>
            </a:solidFill>
            <a:effectLst/>
            <a:latin typeface="Times New Roman" panose="02020603050405020304" pitchFamily="18" charset="0"/>
            <a:ea typeface="Times New Roman" panose="02020603050405020304" pitchFamily="18" charset="0"/>
          </a:endParaRPr>
        </a:p>
        <a:p>
          <a:pPr>
            <a:spcAft>
              <a:spcPts val="0"/>
            </a:spcAft>
          </a:pPr>
          <a:r>
            <a:rPr lang="de-CH" sz="1100">
              <a:effectLst/>
              <a:latin typeface="Arial" panose="020B0604020202020204" pitchFamily="34" charset="0"/>
              <a:ea typeface="Times New Roman" panose="02020603050405020304" pitchFamily="18" charset="0"/>
            </a:rPr>
            <a:t>Ausgangspunkt für die Berechnungen sind die dortigen «5x1 – Tabellen». Das heisst, die Sterbekoeffizienten qx zur Absterbe - Tafel (aus je 100000 Personen) sind jeweils aus fünf Altersjahren (z.B. 10 bis und mit 14 Jahre), gültig für </a:t>
          </a:r>
          <a:r>
            <a:rPr lang="de-CH" sz="1100" u="sng">
              <a:effectLst/>
              <a:latin typeface="Arial" panose="020B0604020202020204" pitchFamily="34" charset="0"/>
              <a:ea typeface="Times New Roman" panose="02020603050405020304" pitchFamily="18" charset="0"/>
            </a:rPr>
            <a:t>ein</a:t>
          </a:r>
          <a:r>
            <a:rPr lang="de-CH" sz="1100">
              <a:effectLst/>
              <a:latin typeface="Arial" panose="020B0604020202020204" pitchFamily="34" charset="0"/>
              <a:ea typeface="Times New Roman" panose="02020603050405020304" pitchFamily="18" charset="0"/>
            </a:rPr>
            <a:t> Erhebungsjahr (z.B. 2016) abgeleitet.</a:t>
          </a:r>
          <a:r>
            <a:rPr lang="de-CH" sz="1200">
              <a:effectLst/>
              <a:latin typeface="Times New Roman" panose="02020603050405020304" pitchFamily="18" charset="0"/>
              <a:ea typeface="Times New Roman" panose="02020603050405020304" pitchFamily="18" charset="0"/>
            </a:rPr>
            <a:t> </a:t>
          </a:r>
          <a:r>
            <a:rPr lang="de-DE" sz="1100">
              <a:effectLst/>
              <a:latin typeface="Arial" panose="020B0604020202020204" pitchFamily="34" charset="0"/>
              <a:ea typeface="Times New Roman" panose="02020603050405020304" pitchFamily="18" charset="0"/>
            </a:rPr>
            <a:t>Die Ergebnisse werden jeweils in Doppelspalten, getrennt für Männer und Frauen, dargestellt.</a:t>
          </a:r>
          <a:endParaRPr lang="de-CH" sz="1200">
            <a:effectLst/>
            <a:latin typeface="Times New Roman" panose="02020603050405020304" pitchFamily="18" charset="0"/>
            <a:ea typeface="Times New Roman" panose="02020603050405020304" pitchFamily="18" charset="0"/>
          </a:endParaRPr>
        </a:p>
        <a:p>
          <a:pPr>
            <a:spcAft>
              <a:spcPts val="0"/>
            </a:spcAft>
          </a:pPr>
          <a:r>
            <a:rPr lang="de-DE" sz="1100">
              <a:effectLst/>
              <a:latin typeface="Arial" panose="020B0604020202020204" pitchFamily="34" charset="0"/>
              <a:ea typeface="Times New Roman" panose="02020603050405020304" pitchFamily="18" charset="0"/>
            </a:rPr>
            <a:t> </a:t>
          </a:r>
          <a:endParaRPr lang="de-CH" sz="1200">
            <a:effectLst/>
            <a:latin typeface="Times New Roman" panose="02020603050405020304" pitchFamily="18" charset="0"/>
            <a:ea typeface="Times New Roman" panose="02020603050405020304" pitchFamily="18" charset="0"/>
          </a:endParaRPr>
        </a:p>
        <a:p>
          <a:pPr>
            <a:spcAft>
              <a:spcPts val="0"/>
            </a:spcAft>
          </a:pPr>
          <a:r>
            <a:rPr lang="de-CH" sz="1100">
              <a:effectLst/>
              <a:latin typeface="Arial" panose="020B0604020202020204" pitchFamily="34" charset="0"/>
              <a:ea typeface="Times New Roman" panose="02020603050405020304" pitchFamily="18" charset="0"/>
            </a:rPr>
            <a:t>Gegenüber den oft publizierten, sog. (1 x 1) – Statistiken (pro Erhebungsjahr und Altersjahr) oder den ebenfalls verwendeten (5 x 1) – Statistiken (5 – Jahres – Erhebungsperiode, pro Altersjahr </a:t>
          </a:r>
          <a:r>
            <a:rPr lang="de-CH" sz="1100">
              <a:effectLst/>
              <a:latin typeface="Arial" panose="020B0604020202020204" pitchFamily="34" charset="0"/>
              <a:ea typeface="Times New Roman" panose="02020603050405020304" pitchFamily="18" charset="0"/>
              <a:cs typeface="Arial" panose="020B0604020202020204" pitchFamily="34" charset="0"/>
              <a:sym typeface="Wingdings" panose="05000000000000000000" pitchFamily="2" charset="2"/>
            </a:rPr>
            <a:t></a:t>
          </a:r>
          <a:r>
            <a:rPr lang="de-CH" sz="1100">
              <a:effectLst/>
              <a:latin typeface="Arial" panose="020B0604020202020204" pitchFamily="34" charset="0"/>
              <a:ea typeface="Times New Roman" panose="02020603050405020304" pitchFamily="18" charset="0"/>
            </a:rPr>
            <a:t> Volkssterbetafeln) können sich minimale Unterschiede im Ergebnis ergeben. Auch deshalb, weil für eine kontinuierliche Berechnung wie vorliegend die diskret verteilten Tabellenwerte aus der Rohdaten – Statistik: Spalte dx «Anteil der Sterbenden vom Alter x» sowie Spalte ex «mittlere Restlebensdauer der x - Jährigen“ in bestmöglich angepasste Kurvenfunktionen umgelegt werden mussten. Da ferner die gesamte statistische Erhebung laut </a:t>
          </a:r>
          <a:r>
            <a:rPr lang="de-CH" sz="1100" u="sng">
              <a:solidFill>
                <a:srgbClr val="0000FF"/>
              </a:solidFill>
              <a:effectLst/>
              <a:latin typeface="Arial" panose="020B0604020202020204" pitchFamily="34" charset="0"/>
              <a:ea typeface="Times New Roman" panose="02020603050405020304" pitchFamily="18" charset="0"/>
              <a:hlinkClick xmlns:r="http://schemas.openxmlformats.org/officeDocument/2006/relationships" r:id=""/>
            </a:rPr>
            <a:t>http://www.lebenserwartung.info/index-Dateien/sterbetafel.htm</a:t>
          </a:r>
          <a:r>
            <a:rPr lang="de-CH" sz="1100" u="none">
              <a:solidFill>
                <a:srgbClr val="FF0000"/>
              </a:solidFill>
              <a:effectLst/>
              <a:latin typeface="Arial" panose="020B0604020202020204" pitchFamily="34" charset="0"/>
              <a:ea typeface="Times New Roman" panose="02020603050405020304" pitchFamily="18" charset="0"/>
            </a:rPr>
            <a:t>*** </a:t>
          </a:r>
          <a:r>
            <a:rPr lang="de-CH" sz="1100">
              <a:effectLst/>
              <a:latin typeface="Arial" panose="020B0604020202020204" pitchFamily="34" charset="0"/>
              <a:ea typeface="Times New Roman" panose="02020603050405020304" pitchFamily="18" charset="0"/>
            </a:rPr>
            <a:t>„ohnehin nur“ auf einer synthetischen Population (100’000-er Absterbe - Modell) beruht und dabei gewissen rechnerischen Konventionen unterliegt, können die hier berechneten Kennwerte aus kontinuierlicher Funktion resp. Ableitung gegenüber den Basisdaten sowie alternativen Tabellen für die Praxis als durchaus gleichwertig und aussagekräftig betrachtet werden.</a:t>
          </a:r>
          <a:endParaRPr lang="de-CH" sz="1200">
            <a:effectLst/>
            <a:latin typeface="Times New Roman" panose="02020603050405020304" pitchFamily="18" charset="0"/>
            <a:ea typeface="Times New Roman" panose="02020603050405020304" pitchFamily="18" charset="0"/>
          </a:endParaRPr>
        </a:p>
        <a:p>
          <a:pPr>
            <a:spcAft>
              <a:spcPts val="0"/>
            </a:spcAft>
          </a:pPr>
          <a:r>
            <a:rPr lang="de-CH" sz="1100">
              <a:effectLst/>
              <a:latin typeface="Arial" panose="020B0604020202020204" pitchFamily="34" charset="0"/>
              <a:ea typeface="Times New Roman" panose="02020603050405020304" pitchFamily="18" charset="0"/>
            </a:rPr>
            <a:t> </a:t>
          </a:r>
          <a:endParaRPr lang="de-CH" sz="1200">
            <a:effectLst/>
            <a:latin typeface="Times New Roman" panose="02020603050405020304" pitchFamily="18" charset="0"/>
            <a:ea typeface="Times New Roman" panose="02020603050405020304" pitchFamily="18" charset="0"/>
          </a:endParaRPr>
        </a:p>
        <a:p>
          <a:pPr>
            <a:spcAft>
              <a:spcPts val="0"/>
            </a:spcAft>
          </a:pPr>
          <a:r>
            <a:rPr lang="de-CH" sz="1100">
              <a:effectLst/>
              <a:latin typeface="Arial" panose="020B0604020202020204" pitchFamily="34" charset="0"/>
              <a:ea typeface="Times New Roman" panose="02020603050405020304" pitchFamily="18" charset="0"/>
            </a:rPr>
            <a:t> </a:t>
          </a:r>
          <a:endParaRPr lang="de-CH" sz="1200">
            <a:effectLst/>
            <a:latin typeface="Times New Roman" panose="02020603050405020304" pitchFamily="18" charset="0"/>
            <a:ea typeface="Times New Roman" panose="02020603050405020304" pitchFamily="18" charset="0"/>
          </a:endParaRPr>
        </a:p>
        <a:p>
          <a:pPr>
            <a:spcAft>
              <a:spcPts val="0"/>
            </a:spcAft>
          </a:pPr>
          <a:r>
            <a:rPr lang="de-CH" sz="1100" b="1">
              <a:effectLst/>
              <a:latin typeface="Arial" panose="020B0604020202020204" pitchFamily="34" charset="0"/>
              <a:ea typeface="Times New Roman" panose="02020603050405020304" pitchFamily="18" charset="0"/>
            </a:rPr>
            <a:t>Lesehilfe </a:t>
          </a:r>
          <a:endParaRPr lang="de-CH" sz="1200">
            <a:effectLst/>
            <a:latin typeface="Times New Roman" panose="02020603050405020304" pitchFamily="18" charset="0"/>
            <a:ea typeface="Times New Roman" panose="02020603050405020304" pitchFamily="18" charset="0"/>
          </a:endParaRPr>
        </a:p>
        <a:p>
          <a:pPr>
            <a:spcAft>
              <a:spcPts val="0"/>
            </a:spcAft>
          </a:pPr>
          <a:r>
            <a:rPr lang="de-CH" sz="1100">
              <a:effectLst/>
              <a:latin typeface="Arial" panose="020B0604020202020204" pitchFamily="34" charset="0"/>
              <a:ea typeface="Times New Roman" panose="02020603050405020304" pitchFamily="18" charset="0"/>
            </a:rPr>
            <a:t>Innerhalb einer Tabelle findet sich auf der linken Seite eine Berechnungsmatrix, welche –  ausgehend von einem festzulegenden „Aktuellen Alter“ – die Festlegung von drei möglichen „Alterszielen“ vorsieht und dafür je die entsprechende Überlebenswahrscheinlichkeit sowie (bei tatsächlichem Erleben) die ab hier statistisch verbleibende, mittlere Restlebensdauer berechnet.</a:t>
          </a:r>
          <a:endParaRPr lang="de-CH" sz="1200">
            <a:effectLst/>
            <a:latin typeface="Times New Roman" panose="02020603050405020304" pitchFamily="18" charset="0"/>
            <a:ea typeface="Times New Roman" panose="02020603050405020304" pitchFamily="18" charset="0"/>
          </a:endParaRPr>
        </a:p>
        <a:p>
          <a:pPr>
            <a:spcAft>
              <a:spcPts val="0"/>
            </a:spcAft>
          </a:pPr>
          <a:r>
            <a:rPr lang="de-CH" sz="1100">
              <a:effectLst/>
              <a:latin typeface="Arial" panose="020B0604020202020204" pitchFamily="34" charset="0"/>
              <a:ea typeface="Times New Roman" panose="02020603050405020304" pitchFamily="18" charset="0"/>
            </a:rPr>
            <a:t> </a:t>
          </a:r>
          <a:endParaRPr lang="de-CH" sz="1200">
            <a:effectLst/>
            <a:latin typeface="Times New Roman" panose="02020603050405020304" pitchFamily="18" charset="0"/>
            <a:ea typeface="Times New Roman" panose="02020603050405020304" pitchFamily="18" charset="0"/>
          </a:endParaRPr>
        </a:p>
        <a:p>
          <a:pPr>
            <a:spcAft>
              <a:spcPts val="0"/>
            </a:spcAft>
          </a:pPr>
          <a:r>
            <a:rPr lang="de-CH" sz="1100">
              <a:effectLst/>
              <a:latin typeface="Arial" panose="020B0604020202020204" pitchFamily="34" charset="0"/>
              <a:ea typeface="Times New Roman" panose="02020603050405020304" pitchFamily="18" charset="0"/>
            </a:rPr>
            <a:t>Auf der rechten Seite der gleichen Tabelle ist der umgekehrte Rechnungsgang möglich. Das heisst, dass – wiederum ausgehend von einem gewählten „Aktuellen Alter“ – für vorgegebene Überlebenswahrscheinlichkeiten das resultierende „Ziel – resp. Sterbealter“, und ab hier wiederum die alsdann statistisch noch verbleibende, mittlere  Restlebenszeit bestimmt wird. Selbstverständlich müssen bei entsprechenden Datenvorgaben die Resultate „links und rechts der Tabelle“ übereinstimmen. </a:t>
          </a:r>
          <a:endParaRPr lang="de-CH" sz="1200">
            <a:effectLst/>
            <a:latin typeface="Times New Roman" panose="02020603050405020304" pitchFamily="18" charset="0"/>
            <a:ea typeface="Times New Roman" panose="02020603050405020304" pitchFamily="18" charset="0"/>
          </a:endParaRPr>
        </a:p>
        <a:p>
          <a:endParaRPr lang="de-CH" sz="1100"/>
        </a:p>
      </xdr:txBody>
    </xdr:sp>
    <xdr:clientData/>
  </xdr:oneCellAnchor>
  <xdr:oneCellAnchor>
    <xdr:from>
      <xdr:col>7</xdr:col>
      <xdr:colOff>60960</xdr:colOff>
      <xdr:row>0</xdr:row>
      <xdr:rowOff>99060</xdr:rowOff>
    </xdr:from>
    <xdr:ext cx="5929206" cy="7700858"/>
    <xdr:sp macro="" textlink="">
      <xdr:nvSpPr>
        <xdr:cNvPr id="3" name="Textfeld 2">
          <a:extLst>
            <a:ext uri="{FF2B5EF4-FFF2-40B4-BE49-F238E27FC236}">
              <a16:creationId xmlns:a16="http://schemas.microsoft.com/office/drawing/2014/main" id="{0A030B98-752A-49BB-9635-2ED3CC032860}"/>
            </a:ext>
          </a:extLst>
        </xdr:cNvPr>
        <xdr:cNvSpPr txBox="1"/>
      </xdr:nvSpPr>
      <xdr:spPr>
        <a:xfrm>
          <a:off x="6114627" y="99060"/>
          <a:ext cx="5929206" cy="77008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0" lang="de-CH" sz="1200" b="0" i="0" u="none" strike="noStrike" kern="0" cap="none" spc="0" normalizeH="0" baseline="0" noProof="0">
              <a:ln>
                <a:noFill/>
              </a:ln>
              <a:solidFill>
                <a:prstClr val="black"/>
              </a:solidFill>
              <a:effectLst/>
              <a:uLnTx/>
              <a:uFillTx/>
              <a:latin typeface="Arial" panose="020B0604020202020204" pitchFamily="34" charset="0"/>
              <a:ea typeface="Times New Roman" panose="02020603050405020304" pitchFamily="18" charset="0"/>
              <a:cs typeface="+mn-cs"/>
            </a:rPr>
            <a:t> </a:t>
          </a:r>
          <a:r>
            <a:rPr kumimoji="0" lang="de-CH" sz="1200" b="1" i="0" u="none" strike="noStrike" kern="0" cap="none" spc="0" normalizeH="0" baseline="0" noProof="0">
              <a:ln>
                <a:noFill/>
              </a:ln>
              <a:solidFill>
                <a:prstClr val="black"/>
              </a:solidFill>
              <a:effectLst/>
              <a:uLnTx/>
              <a:uFillTx/>
              <a:latin typeface="Arial" panose="020B0604020202020204" pitchFamily="34" charset="0"/>
              <a:ea typeface="Times New Roman" panose="02020603050405020304" pitchFamily="18" charset="0"/>
              <a:cs typeface="+mn-cs"/>
            </a:rPr>
            <a:t>Praktischer Vorgang „links der Tabelle“</a:t>
          </a:r>
          <a:r>
            <a:rPr kumimoji="0" lang="de-CH" sz="1200" b="0" i="0" u="none" strike="noStrike" kern="0" cap="none" spc="0" normalizeH="0" baseline="0" noProof="0">
              <a:ln>
                <a:noFill/>
              </a:ln>
              <a:solidFill>
                <a:prstClr val="black"/>
              </a:solidFill>
              <a:effectLst/>
              <a:uLnTx/>
              <a:uFillTx/>
              <a:latin typeface="Arial" panose="020B0604020202020204" pitchFamily="34" charset="0"/>
              <a:ea typeface="Times New Roman" panose="02020603050405020304" pitchFamily="18" charset="0"/>
              <a:cs typeface="+mn-cs"/>
            </a:rPr>
            <a:t> (Eingaben in hellgrünen Feldern):</a:t>
          </a:r>
          <a:endParaRPr kumimoji="0" lang="de-CH" sz="1400" b="0" i="0" u="none" strike="noStrike" kern="0" cap="none" spc="0" normalizeH="0" baseline="0" noProof="0">
            <a:ln>
              <a:noFill/>
            </a:ln>
            <a:solidFill>
              <a:prstClr val="black"/>
            </a:solidFill>
            <a:effectLst/>
            <a:uLnTx/>
            <a:uFillTx/>
            <a:latin typeface="Times New Roman" panose="02020603050405020304" pitchFamily="18" charset="0"/>
            <a:ea typeface="Times New Roman" panose="02020603050405020304" pitchFamily="18" charset="0"/>
            <a:cs typeface="+mn-cs"/>
          </a:endParaRPr>
        </a:p>
        <a:p>
          <a:pPr marL="342900" marR="0" lvl="0" indent="-342900" defTabSz="914400" eaLnBrk="1" fontAlgn="auto" latinLnBrk="0" hangingPunct="1">
            <a:lnSpc>
              <a:spcPct val="100000"/>
            </a:lnSpc>
            <a:spcBef>
              <a:spcPts val="0"/>
            </a:spcBef>
            <a:spcAft>
              <a:spcPts val="0"/>
            </a:spcAft>
            <a:buClrTx/>
            <a:buSzTx/>
            <a:buFont typeface="+mj-lt"/>
            <a:buAutoNum type="alphaLcParenR"/>
            <a:tabLst>
              <a:tab pos="228600" algn="l"/>
            </a:tabLst>
            <a:defRPr/>
          </a:pPr>
          <a:r>
            <a:rPr kumimoji="0" lang="de-CH" sz="1200" b="0" i="0" u="none" strike="noStrike" kern="0" cap="none" spc="0" normalizeH="0" baseline="0" noProof="0">
              <a:ln>
                <a:noFill/>
              </a:ln>
              <a:solidFill>
                <a:prstClr val="black"/>
              </a:solidFill>
              <a:effectLst/>
              <a:uLnTx/>
              <a:uFillTx/>
              <a:latin typeface="Arial" panose="020B0604020202020204" pitchFamily="34" charset="0"/>
              <a:ea typeface="Times New Roman" panose="02020603050405020304" pitchFamily="18" charset="0"/>
              <a:cs typeface="+mn-cs"/>
            </a:rPr>
            <a:t>Festlegung eines „Aktuellen Alters“ (Feld C11)</a:t>
          </a:r>
          <a:endParaRPr kumimoji="0" lang="de-CH" sz="1400" b="0" i="0" u="none" strike="noStrike" kern="0" cap="none" spc="0" normalizeH="0" baseline="0" noProof="0">
            <a:ln>
              <a:noFill/>
            </a:ln>
            <a:solidFill>
              <a:prstClr val="black"/>
            </a:solidFill>
            <a:effectLst/>
            <a:uLnTx/>
            <a:uFillTx/>
            <a:latin typeface="Times New Roman" panose="02020603050405020304" pitchFamily="18" charset="0"/>
            <a:ea typeface="Times New Roman" panose="02020603050405020304" pitchFamily="18" charset="0"/>
            <a:cs typeface="+mn-cs"/>
          </a:endParaRPr>
        </a:p>
        <a:p>
          <a:pPr marL="342900" marR="0" lvl="0" indent="-342900" defTabSz="914400" eaLnBrk="1" fontAlgn="auto" latinLnBrk="0" hangingPunct="1">
            <a:lnSpc>
              <a:spcPct val="100000"/>
            </a:lnSpc>
            <a:spcBef>
              <a:spcPts val="0"/>
            </a:spcBef>
            <a:spcAft>
              <a:spcPts val="0"/>
            </a:spcAft>
            <a:buClrTx/>
            <a:buSzTx/>
            <a:buFont typeface="+mj-lt"/>
            <a:buAutoNum type="alphaLcParenR"/>
            <a:tabLst>
              <a:tab pos="228600" algn="l"/>
            </a:tabLst>
            <a:defRPr/>
          </a:pPr>
          <a:r>
            <a:rPr kumimoji="0" lang="de-CH" sz="1200" b="0" i="0" u="none" strike="noStrike" kern="0" cap="none" spc="0" normalizeH="0" baseline="0" noProof="0">
              <a:ln>
                <a:noFill/>
              </a:ln>
              <a:solidFill>
                <a:prstClr val="black"/>
              </a:solidFill>
              <a:effectLst/>
              <a:uLnTx/>
              <a:uFillTx/>
              <a:latin typeface="Arial" panose="020B0604020202020204" pitchFamily="34" charset="0"/>
              <a:ea typeface="Times New Roman" panose="02020603050405020304" pitchFamily="18" charset="0"/>
              <a:cs typeface="+mn-cs"/>
            </a:rPr>
            <a:t>Festlegung eines „wünschbaren Zielalters“ (Feld C13)</a:t>
          </a:r>
          <a:endParaRPr kumimoji="0" lang="de-CH" sz="1400" b="0" i="0" u="none" strike="noStrike" kern="0" cap="none" spc="0" normalizeH="0" baseline="0" noProof="0">
            <a:ln>
              <a:noFill/>
            </a:ln>
            <a:solidFill>
              <a:prstClr val="black"/>
            </a:solidFill>
            <a:effectLst/>
            <a:uLnTx/>
            <a:uFillTx/>
            <a:latin typeface="Times New Roman" panose="02020603050405020304" pitchFamily="18" charset="0"/>
            <a:ea typeface="Times New Roman" panose="02020603050405020304" pitchFamily="18" charset="0"/>
            <a:cs typeface="+mn-cs"/>
          </a:endParaRPr>
        </a:p>
        <a:p>
          <a:pPr marL="342900" marR="0" lvl="0" indent="-342900" defTabSz="914400" eaLnBrk="1" fontAlgn="auto" latinLnBrk="0" hangingPunct="1">
            <a:lnSpc>
              <a:spcPct val="100000"/>
            </a:lnSpc>
            <a:spcBef>
              <a:spcPts val="0"/>
            </a:spcBef>
            <a:spcAft>
              <a:spcPts val="0"/>
            </a:spcAft>
            <a:buClrTx/>
            <a:buSzTx/>
            <a:buFont typeface="+mj-lt"/>
            <a:buAutoNum type="alphaLcParenR"/>
            <a:tabLst>
              <a:tab pos="228600" algn="l"/>
            </a:tabLst>
            <a:defRPr/>
          </a:pPr>
          <a:r>
            <a:rPr kumimoji="0" lang="de-CH" sz="1200" b="0" i="0" u="none" strike="noStrike" kern="0" cap="none" spc="0" normalizeH="0" baseline="0" noProof="0">
              <a:ln>
                <a:noFill/>
              </a:ln>
              <a:solidFill>
                <a:prstClr val="black"/>
              </a:solidFill>
              <a:effectLst/>
              <a:uLnTx/>
              <a:uFillTx/>
              <a:latin typeface="Arial" panose="020B0604020202020204" pitchFamily="34" charset="0"/>
              <a:ea typeface="Times New Roman" panose="02020603050405020304" pitchFamily="18" charset="0"/>
              <a:cs typeface="+mn-cs"/>
            </a:rPr>
            <a:t>Festlegung eines „erhöhten Sterbealters“ (Feld C14) mit „ab hier“ resultierender, neuerlicher Überlebenswahrscheinlichkeit und Restlebensdauer, falls das „wünschbare Zielalter“ mit berechneter Überlebenswahrscheinlichkeit und „ab dort“ ausgewiesener mittlerer Restlebenszeit tatsächlich erreicht wird</a:t>
          </a:r>
          <a:endParaRPr kumimoji="0" lang="de-CH" sz="1400" b="0" i="0" u="none" strike="noStrike" kern="0" cap="none" spc="0" normalizeH="0" baseline="0" noProof="0">
            <a:ln>
              <a:noFill/>
            </a:ln>
            <a:solidFill>
              <a:prstClr val="black"/>
            </a:solidFill>
            <a:effectLst/>
            <a:uLnTx/>
            <a:uFillTx/>
            <a:latin typeface="Times New Roman" panose="02020603050405020304" pitchFamily="18" charset="0"/>
            <a:ea typeface="Times New Roman" panose="02020603050405020304" pitchFamily="18" charset="0"/>
            <a:cs typeface="+mn-cs"/>
          </a:endParaRPr>
        </a:p>
        <a:p>
          <a:pPr marL="342900" marR="0" lvl="0" indent="-342900" defTabSz="914400" eaLnBrk="1" fontAlgn="auto" latinLnBrk="0" hangingPunct="1">
            <a:lnSpc>
              <a:spcPct val="100000"/>
            </a:lnSpc>
            <a:spcBef>
              <a:spcPts val="0"/>
            </a:spcBef>
            <a:spcAft>
              <a:spcPts val="0"/>
            </a:spcAft>
            <a:buClrTx/>
            <a:buSzTx/>
            <a:buFont typeface="+mj-lt"/>
            <a:buAutoNum type="alphaLcParenR"/>
            <a:tabLst>
              <a:tab pos="228600" algn="l"/>
            </a:tabLst>
            <a:defRPr/>
          </a:pPr>
          <a:r>
            <a:rPr kumimoji="0" lang="de-CH" sz="1200" b="0" i="0" u="none" strike="noStrike" kern="0" cap="none" spc="0" normalizeH="0" baseline="0" noProof="0">
              <a:ln>
                <a:noFill/>
              </a:ln>
              <a:solidFill>
                <a:prstClr val="black"/>
              </a:solidFill>
              <a:effectLst/>
              <a:uLnTx/>
              <a:uFillTx/>
              <a:latin typeface="Arial" panose="020B0604020202020204" pitchFamily="34" charset="0"/>
              <a:ea typeface="Times New Roman" panose="02020603050405020304" pitchFamily="18" charset="0"/>
              <a:cs typeface="+mn-cs"/>
            </a:rPr>
            <a:t>Festlegung eines „reduzierten Sterbealters“ (Feld C12) mit resultierender Wahrscheinlichkeit für jene Fälle, wo das „wünschbare Zielalter“ </a:t>
          </a:r>
          <a:r>
            <a:rPr kumimoji="0" lang="de-CH" sz="1200" b="0" i="0" u="sng" strike="noStrike" kern="0" cap="none" spc="0" normalizeH="0" baseline="0" noProof="0">
              <a:ln>
                <a:noFill/>
              </a:ln>
              <a:solidFill>
                <a:prstClr val="black"/>
              </a:solidFill>
              <a:effectLst/>
              <a:uLnTx/>
              <a:uFillTx/>
              <a:latin typeface="Arial" panose="020B0604020202020204" pitchFamily="34" charset="0"/>
              <a:ea typeface="Times New Roman" panose="02020603050405020304" pitchFamily="18" charset="0"/>
              <a:cs typeface="+mn-cs"/>
            </a:rPr>
            <a:t>nicht</a:t>
          </a:r>
          <a:r>
            <a:rPr kumimoji="0" lang="de-CH" sz="1200" b="0" i="0" u="none" strike="noStrike" kern="0" cap="none" spc="0" normalizeH="0" baseline="0" noProof="0">
              <a:ln>
                <a:noFill/>
              </a:ln>
              <a:solidFill>
                <a:prstClr val="black"/>
              </a:solidFill>
              <a:effectLst/>
              <a:uLnTx/>
              <a:uFillTx/>
              <a:latin typeface="Arial" panose="020B0604020202020204" pitchFamily="34" charset="0"/>
              <a:ea typeface="Times New Roman" panose="02020603050405020304" pitchFamily="18" charset="0"/>
              <a:cs typeface="+mn-cs"/>
            </a:rPr>
            <a:t> erreicht wird. Auch hier mit berechneter, dann noch verbleibender mittlerer Restlebenszeit, wobei deren Addition mit dem „reduzierten Zielalter“ unterhalb des „wünschbaren Zielalters“ liegt.</a:t>
          </a:r>
          <a:endParaRPr kumimoji="0" lang="de-CH" sz="1400" b="0" i="0" u="none" strike="noStrike" kern="0" cap="none" spc="0" normalizeH="0" baseline="0" noProof="0">
            <a:ln>
              <a:noFill/>
            </a:ln>
            <a:solidFill>
              <a:prstClr val="black"/>
            </a:solidFill>
            <a:effectLst/>
            <a:uLnTx/>
            <a:uFillTx/>
            <a:latin typeface="Times New Roman" panose="02020603050405020304" pitchFamily="18" charset="0"/>
            <a:ea typeface="Times New Roman" panose="02020603050405020304" pitchFamily="18" charset="0"/>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CH" sz="1200" b="0" i="0" u="none" strike="noStrike" kern="0" cap="none" spc="0" normalizeH="0" baseline="0" noProof="0">
              <a:ln>
                <a:noFill/>
              </a:ln>
              <a:solidFill>
                <a:prstClr val="black"/>
              </a:solidFill>
              <a:effectLst/>
              <a:uLnTx/>
              <a:uFillTx/>
              <a:latin typeface="Arial" panose="020B0604020202020204" pitchFamily="34" charset="0"/>
              <a:ea typeface="Times New Roman" panose="02020603050405020304" pitchFamily="18" charset="0"/>
              <a:cs typeface="+mn-cs"/>
            </a:rPr>
            <a:t> </a:t>
          </a:r>
          <a:endParaRPr kumimoji="0" lang="de-CH" sz="1400" b="0" i="0" u="none" strike="noStrike" kern="0" cap="none" spc="0" normalizeH="0" baseline="0" noProof="0">
            <a:ln>
              <a:noFill/>
            </a:ln>
            <a:solidFill>
              <a:prstClr val="black"/>
            </a:solidFill>
            <a:effectLst/>
            <a:uLnTx/>
            <a:uFillTx/>
            <a:latin typeface="Times New Roman" panose="02020603050405020304" pitchFamily="18" charset="0"/>
            <a:ea typeface="Times New Roman" panose="02020603050405020304" pitchFamily="18" charset="0"/>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CH" sz="1200" b="0" i="0" u="none" strike="noStrike" kern="0" cap="none" spc="0" normalizeH="0" baseline="0" noProof="0">
              <a:ln>
                <a:noFill/>
              </a:ln>
              <a:solidFill>
                <a:prstClr val="black"/>
              </a:solidFill>
              <a:effectLst/>
              <a:uLnTx/>
              <a:uFillTx/>
              <a:latin typeface="Arial" panose="020B0604020202020204" pitchFamily="34" charset="0"/>
              <a:ea typeface="Times New Roman" panose="02020603050405020304" pitchFamily="18" charset="0"/>
              <a:cs typeface="+mn-cs"/>
            </a:rPr>
            <a:t>Unten anschliessend ist die „umgekehrte Vorgabe“ </a:t>
          </a:r>
          <a:r>
            <a:rPr kumimoji="0" lang="de-CH" sz="1200" b="0" i="0" u="none" strike="noStrike" kern="0" cap="none" spc="0" normalizeH="0" baseline="0" noProof="0">
              <a:ln>
                <a:noFill/>
              </a:ln>
              <a:solidFill>
                <a:prstClr val="black"/>
              </a:solidFill>
              <a:effectLst/>
              <a:uLnTx/>
              <a:uFillTx/>
              <a:latin typeface="Arial" panose="020B0604020202020204" pitchFamily="34" charset="0"/>
              <a:ea typeface="Times New Roman" panose="02020603050405020304" pitchFamily="18" charset="0"/>
              <a:cs typeface="Arial" panose="020B0604020202020204" pitchFamily="34" charset="0"/>
              <a:sym typeface="Wingdings" panose="05000000000000000000" pitchFamily="2" charset="2"/>
            </a:rPr>
            <a:t></a:t>
          </a:r>
          <a:r>
            <a:rPr kumimoji="0" lang="de-CH" sz="1200" b="0" i="0" u="none" strike="noStrike" kern="0" cap="none" spc="0" normalizeH="0" baseline="0" noProof="0">
              <a:ln>
                <a:noFill/>
              </a:ln>
              <a:solidFill>
                <a:prstClr val="black"/>
              </a:solidFill>
              <a:effectLst/>
              <a:uLnTx/>
              <a:uFillTx/>
              <a:latin typeface="Arial" panose="020B0604020202020204" pitchFamily="34" charset="0"/>
              <a:ea typeface="Times New Roman" panose="02020603050405020304" pitchFamily="18" charset="0"/>
              <a:cs typeface="+mn-cs"/>
            </a:rPr>
            <a:t> «Prozentwert der Überlebenswahrscheinlichkeit» möglich – so beispielsweise der Zentralwert (50%) – woraus sich aus der Berechnung das zugehörige Zielalter ergibt. Analoges auch bei «Tabelle rechts».</a:t>
          </a:r>
          <a:endParaRPr kumimoji="0" lang="de-CH" sz="1400" b="0" i="0" u="none" strike="noStrike" kern="0" cap="none" spc="0" normalizeH="0" baseline="0" noProof="0">
            <a:ln>
              <a:noFill/>
            </a:ln>
            <a:solidFill>
              <a:prstClr val="black"/>
            </a:solidFill>
            <a:effectLst/>
            <a:uLnTx/>
            <a:uFillTx/>
            <a:latin typeface="Times New Roman" panose="02020603050405020304" pitchFamily="18" charset="0"/>
            <a:ea typeface="Times New Roman" panose="02020603050405020304" pitchFamily="18" charset="0"/>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CH" sz="1200" b="0" i="0" u="none" strike="noStrike" kern="0" cap="none" spc="0" normalizeH="0" baseline="0" noProof="0">
              <a:ln>
                <a:noFill/>
              </a:ln>
              <a:solidFill>
                <a:prstClr val="black"/>
              </a:solidFill>
              <a:effectLst/>
              <a:uLnTx/>
              <a:uFillTx/>
              <a:latin typeface="Arial" panose="020B0604020202020204" pitchFamily="34" charset="0"/>
              <a:ea typeface="Times New Roman" panose="02020603050405020304" pitchFamily="18" charset="0"/>
              <a:cs typeface="+mn-cs"/>
            </a:rPr>
            <a:t> </a:t>
          </a:r>
          <a:endParaRPr kumimoji="0" lang="de-CH" sz="1400" b="0" i="0" u="none" strike="noStrike" kern="0" cap="none" spc="0" normalizeH="0" baseline="0" noProof="0">
            <a:ln>
              <a:noFill/>
            </a:ln>
            <a:solidFill>
              <a:prstClr val="black"/>
            </a:solidFill>
            <a:effectLst/>
            <a:uLnTx/>
            <a:uFillTx/>
            <a:latin typeface="Times New Roman" panose="02020603050405020304" pitchFamily="18" charset="0"/>
            <a:ea typeface="Times New Roman" panose="02020603050405020304" pitchFamily="18" charset="0"/>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CH" sz="1200" b="1" i="0" u="none" strike="noStrike" kern="0" cap="none" spc="0" normalizeH="0" baseline="0" noProof="0">
              <a:ln>
                <a:noFill/>
              </a:ln>
              <a:solidFill>
                <a:prstClr val="black"/>
              </a:solidFill>
              <a:effectLst/>
              <a:uLnTx/>
              <a:uFillTx/>
              <a:latin typeface="Arial" panose="020B0604020202020204" pitchFamily="34" charset="0"/>
              <a:ea typeface="Times New Roman" panose="02020603050405020304" pitchFamily="18" charset="0"/>
              <a:cs typeface="+mn-cs"/>
            </a:rPr>
            <a:t>Praktischer Vorgang „rechts der Tabelle“</a:t>
          </a:r>
          <a:r>
            <a:rPr kumimoji="0" lang="de-CH" sz="1200" b="0" i="0" u="none" strike="noStrike" kern="0" cap="none" spc="0" normalizeH="0" baseline="0" noProof="0">
              <a:ln>
                <a:noFill/>
              </a:ln>
              <a:solidFill>
                <a:prstClr val="black"/>
              </a:solidFill>
              <a:effectLst/>
              <a:uLnTx/>
              <a:uFillTx/>
              <a:latin typeface="Arial" panose="020B0604020202020204" pitchFamily="34" charset="0"/>
              <a:ea typeface="Times New Roman" panose="02020603050405020304" pitchFamily="18" charset="0"/>
              <a:cs typeface="+mn-cs"/>
            </a:rPr>
            <a:t> (Eingaben in hellgrünen Feldern):</a:t>
          </a:r>
          <a:endParaRPr kumimoji="0" lang="de-CH" sz="1400" b="0" i="0" u="none" strike="noStrike" kern="0" cap="none" spc="0" normalizeH="0" baseline="0" noProof="0">
            <a:ln>
              <a:noFill/>
            </a:ln>
            <a:solidFill>
              <a:prstClr val="black"/>
            </a:solidFill>
            <a:effectLst/>
            <a:uLnTx/>
            <a:uFillTx/>
            <a:latin typeface="Times New Roman" panose="02020603050405020304" pitchFamily="18" charset="0"/>
            <a:ea typeface="Times New Roman" panose="02020603050405020304" pitchFamily="18" charset="0"/>
            <a:cs typeface="+mn-cs"/>
          </a:endParaRPr>
        </a:p>
        <a:p>
          <a:pPr marL="342900" marR="0" lvl="0" indent="-342900" defTabSz="914400" eaLnBrk="1" fontAlgn="auto" latinLnBrk="0" hangingPunct="1">
            <a:lnSpc>
              <a:spcPct val="100000"/>
            </a:lnSpc>
            <a:spcBef>
              <a:spcPts val="0"/>
            </a:spcBef>
            <a:spcAft>
              <a:spcPts val="0"/>
            </a:spcAft>
            <a:buClrTx/>
            <a:buSzTx/>
            <a:buFont typeface="+mj-lt"/>
            <a:buAutoNum type="alphaLcParenR"/>
            <a:tabLst/>
            <a:defRPr/>
          </a:pPr>
          <a:r>
            <a:rPr kumimoji="0" lang="de-CH" sz="1200" b="0" i="0" u="none" strike="noStrike" kern="0" cap="none" spc="0" normalizeH="0" baseline="0" noProof="0">
              <a:ln>
                <a:noFill/>
              </a:ln>
              <a:solidFill>
                <a:prstClr val="black"/>
              </a:solidFill>
              <a:effectLst/>
              <a:uLnTx/>
              <a:uFillTx/>
              <a:latin typeface="Arial" panose="020B0604020202020204" pitchFamily="34" charset="0"/>
              <a:ea typeface="Times New Roman" panose="02020603050405020304" pitchFamily="18" charset="0"/>
              <a:cs typeface="+mn-cs"/>
            </a:rPr>
            <a:t>Festlegung eines „Aktuellen Alters“ (Feld M11, resp. Feld N11)</a:t>
          </a:r>
          <a:endParaRPr kumimoji="0" lang="de-CH" sz="1400" b="0" i="0" u="none" strike="noStrike" kern="0" cap="none" spc="0" normalizeH="0" baseline="0" noProof="0">
            <a:ln>
              <a:noFill/>
            </a:ln>
            <a:solidFill>
              <a:prstClr val="black"/>
            </a:solidFill>
            <a:effectLst/>
            <a:uLnTx/>
            <a:uFillTx/>
            <a:latin typeface="Times New Roman" panose="02020603050405020304" pitchFamily="18" charset="0"/>
            <a:ea typeface="Times New Roman" panose="02020603050405020304" pitchFamily="18" charset="0"/>
            <a:cs typeface="+mn-cs"/>
          </a:endParaRPr>
        </a:p>
        <a:p>
          <a:pPr marL="342900" marR="0" lvl="0" indent="-342900" defTabSz="914400" eaLnBrk="1" fontAlgn="auto" latinLnBrk="0" hangingPunct="1">
            <a:lnSpc>
              <a:spcPct val="100000"/>
            </a:lnSpc>
            <a:spcBef>
              <a:spcPts val="0"/>
            </a:spcBef>
            <a:spcAft>
              <a:spcPts val="0"/>
            </a:spcAft>
            <a:buClrTx/>
            <a:buSzTx/>
            <a:buFont typeface="+mj-lt"/>
            <a:buAutoNum type="alphaLcParenR"/>
            <a:tabLst/>
            <a:defRPr/>
          </a:pPr>
          <a:r>
            <a:rPr kumimoji="0" lang="de-CH" sz="1200" b="0" i="0" u="none" strike="noStrike" kern="0" cap="none" spc="0" normalizeH="0" baseline="0" noProof="0">
              <a:ln>
                <a:noFill/>
              </a:ln>
              <a:solidFill>
                <a:prstClr val="black"/>
              </a:solidFill>
              <a:effectLst/>
              <a:uLnTx/>
              <a:uFillTx/>
              <a:latin typeface="Arial" panose="020B0604020202020204" pitchFamily="34" charset="0"/>
              <a:ea typeface="Times New Roman" panose="02020603050405020304" pitchFamily="18" charset="0"/>
              <a:cs typeface="+mn-cs"/>
            </a:rPr>
            <a:t>Festlegung einer beliebigen Überlebenswahrscheinlichkeit (Feld M13, N13)</a:t>
          </a:r>
          <a:endParaRPr kumimoji="0" lang="de-CH" sz="1400" b="0" i="0" u="none" strike="noStrike" kern="0" cap="none" spc="0" normalizeH="0" baseline="0" noProof="0">
            <a:ln>
              <a:noFill/>
            </a:ln>
            <a:solidFill>
              <a:prstClr val="black"/>
            </a:solidFill>
            <a:effectLst/>
            <a:uLnTx/>
            <a:uFillTx/>
            <a:latin typeface="Times New Roman" panose="02020603050405020304" pitchFamily="18" charset="0"/>
            <a:ea typeface="Times New Roman" panose="02020603050405020304" pitchFamily="18" charset="0"/>
            <a:cs typeface="+mn-cs"/>
          </a:endParaRPr>
        </a:p>
        <a:p>
          <a:pPr marL="342900" marR="0" lvl="0" indent="-342900" defTabSz="914400" eaLnBrk="1" fontAlgn="auto" latinLnBrk="0" hangingPunct="1">
            <a:lnSpc>
              <a:spcPct val="100000"/>
            </a:lnSpc>
            <a:spcBef>
              <a:spcPts val="0"/>
            </a:spcBef>
            <a:spcAft>
              <a:spcPts val="0"/>
            </a:spcAft>
            <a:buClrTx/>
            <a:buSzTx/>
            <a:buFont typeface="+mj-lt"/>
            <a:buAutoNum type="alphaLcParenR"/>
            <a:tabLst/>
            <a:defRPr/>
          </a:pPr>
          <a:r>
            <a:rPr kumimoji="0" lang="de-CH" sz="1200" b="0" i="0" u="none" strike="noStrike" kern="0" cap="none" spc="0" normalizeH="0" baseline="0" noProof="0">
              <a:ln>
                <a:noFill/>
              </a:ln>
              <a:solidFill>
                <a:prstClr val="black"/>
              </a:solidFill>
              <a:effectLst/>
              <a:uLnTx/>
              <a:uFillTx/>
              <a:latin typeface="Arial" panose="020B0604020202020204" pitchFamily="34" charset="0"/>
              <a:ea typeface="Times New Roman" panose="02020603050405020304" pitchFamily="18" charset="0"/>
              <a:cs typeface="+mn-cs"/>
            </a:rPr>
            <a:t>Festlegung einer weiteren Überlebenswahrscheinlichkeit (Feld M14, N14)  </a:t>
          </a:r>
          <a:endParaRPr kumimoji="0" lang="de-CH" sz="1400" b="0" i="0" u="none" strike="noStrike" kern="0" cap="none" spc="0" normalizeH="0" baseline="0" noProof="0">
            <a:ln>
              <a:noFill/>
            </a:ln>
            <a:solidFill>
              <a:prstClr val="black"/>
            </a:solidFill>
            <a:effectLst/>
            <a:uLnTx/>
            <a:uFillTx/>
            <a:latin typeface="Times New Roman" panose="02020603050405020304" pitchFamily="18" charset="0"/>
            <a:ea typeface="Times New Roman" panose="02020603050405020304" pitchFamily="18" charset="0"/>
            <a:cs typeface="+mn-cs"/>
          </a:endParaRPr>
        </a:p>
        <a:p>
          <a:pPr marL="342900" marR="0" lvl="0" indent="-342900" defTabSz="914400" eaLnBrk="1" fontAlgn="auto" latinLnBrk="0" hangingPunct="1">
            <a:lnSpc>
              <a:spcPct val="100000"/>
            </a:lnSpc>
            <a:spcBef>
              <a:spcPts val="0"/>
            </a:spcBef>
            <a:spcAft>
              <a:spcPts val="0"/>
            </a:spcAft>
            <a:buClrTx/>
            <a:buSzTx/>
            <a:buFont typeface="+mj-lt"/>
            <a:buAutoNum type="alphaLcParenR"/>
            <a:tabLst/>
            <a:defRPr/>
          </a:pPr>
          <a:r>
            <a:rPr kumimoji="0" lang="de-CH" sz="1200" b="0" i="0" u="none" strike="noStrike" kern="0" cap="none" spc="0" normalizeH="0" baseline="0" noProof="0">
              <a:ln>
                <a:noFill/>
              </a:ln>
              <a:solidFill>
                <a:prstClr val="black"/>
              </a:solidFill>
              <a:effectLst/>
              <a:uLnTx/>
              <a:uFillTx/>
              <a:latin typeface="Arial" panose="020B0604020202020204" pitchFamily="34" charset="0"/>
              <a:ea typeface="Times New Roman" panose="02020603050405020304" pitchFamily="18" charset="0"/>
              <a:cs typeface="+mn-cs"/>
            </a:rPr>
            <a:t>Festlegung einer dritten Überlebenswahrscheinlichkeit (Feld M12, N12) </a:t>
          </a:r>
          <a:endParaRPr kumimoji="0" lang="de-CH" sz="1400" b="0" i="0" u="none" strike="noStrike" kern="0" cap="none" spc="0" normalizeH="0" baseline="0" noProof="0">
            <a:ln>
              <a:noFill/>
            </a:ln>
            <a:solidFill>
              <a:prstClr val="black"/>
            </a:solidFill>
            <a:effectLst/>
            <a:uLnTx/>
            <a:uFillTx/>
            <a:latin typeface="Times New Roman" panose="02020603050405020304" pitchFamily="18" charset="0"/>
            <a:ea typeface="Times New Roman" panose="02020603050405020304" pitchFamily="18" charset="0"/>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CH" sz="1200" b="0" i="0" u="none" strike="noStrike" kern="0" cap="none" spc="0" normalizeH="0" baseline="0" noProof="0">
              <a:ln>
                <a:noFill/>
              </a:ln>
              <a:solidFill>
                <a:prstClr val="black"/>
              </a:solidFill>
              <a:effectLst/>
              <a:uLnTx/>
              <a:uFillTx/>
              <a:latin typeface="Arial" panose="020B0604020202020204" pitchFamily="34" charset="0"/>
              <a:ea typeface="Times New Roman" panose="02020603050405020304" pitchFamily="18" charset="0"/>
              <a:cs typeface="+mn-cs"/>
            </a:rPr>
            <a:t> </a:t>
          </a:r>
          <a:endParaRPr kumimoji="0" lang="de-CH" sz="1400" b="0" i="0" u="none" strike="noStrike" kern="0" cap="none" spc="0" normalizeH="0" baseline="0" noProof="0">
            <a:ln>
              <a:noFill/>
            </a:ln>
            <a:solidFill>
              <a:prstClr val="black"/>
            </a:solidFill>
            <a:effectLst/>
            <a:uLnTx/>
            <a:uFillTx/>
            <a:latin typeface="Times New Roman" panose="02020603050405020304" pitchFamily="18" charset="0"/>
            <a:ea typeface="Times New Roman" panose="02020603050405020304" pitchFamily="18" charset="0"/>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CH" sz="1200" b="0" i="0" u="none" strike="noStrike" kern="0" cap="none" spc="0" normalizeH="0" baseline="0" noProof="0">
              <a:ln>
                <a:noFill/>
              </a:ln>
              <a:solidFill>
                <a:prstClr val="black"/>
              </a:solidFill>
              <a:effectLst/>
              <a:uLnTx/>
              <a:uFillTx/>
              <a:latin typeface="Arial" panose="020B0604020202020204" pitchFamily="34" charset="0"/>
              <a:ea typeface="Times New Roman" panose="02020603050405020304" pitchFamily="18" charset="0"/>
              <a:cs typeface="+mn-cs"/>
            </a:rPr>
            <a:t>Als Ergebnisse werden geliefert:</a:t>
          </a:r>
          <a:endParaRPr kumimoji="0" lang="de-CH" sz="1400" b="0" i="0" u="none" strike="noStrike" kern="0" cap="none" spc="0" normalizeH="0" baseline="0" noProof="0">
            <a:ln>
              <a:noFill/>
            </a:ln>
            <a:solidFill>
              <a:prstClr val="black"/>
            </a:solidFill>
            <a:effectLst/>
            <a:uLnTx/>
            <a:uFillTx/>
            <a:latin typeface="Times New Roman" panose="02020603050405020304" pitchFamily="18" charset="0"/>
            <a:ea typeface="Times New Roman" panose="02020603050405020304" pitchFamily="18" charset="0"/>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CH" sz="1200" b="0" i="0" u="none" strike="noStrike" kern="0" cap="none" spc="0" normalizeH="0" baseline="0" noProof="0">
              <a:ln>
                <a:noFill/>
              </a:ln>
              <a:solidFill>
                <a:prstClr val="black"/>
              </a:solidFill>
              <a:effectLst/>
              <a:uLnTx/>
              <a:uFillTx/>
              <a:latin typeface="Arial" panose="020B0604020202020204" pitchFamily="34" charset="0"/>
              <a:ea typeface="Times New Roman" panose="02020603050405020304" pitchFamily="18" charset="0"/>
              <a:cs typeface="+mn-cs"/>
            </a:rPr>
            <a:t> </a:t>
          </a:r>
          <a:endParaRPr kumimoji="0" lang="de-CH" sz="1400" b="0" i="0" u="none" strike="noStrike" kern="0" cap="none" spc="0" normalizeH="0" baseline="0" noProof="0">
            <a:ln>
              <a:noFill/>
            </a:ln>
            <a:solidFill>
              <a:prstClr val="black"/>
            </a:solidFill>
            <a:effectLst/>
            <a:uLnTx/>
            <a:uFillTx/>
            <a:latin typeface="Times New Roman" panose="02020603050405020304" pitchFamily="18" charset="0"/>
            <a:ea typeface="Times New Roman" panose="02020603050405020304" pitchFamily="18" charset="0"/>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CH" sz="1200" b="0" i="0" u="none" strike="noStrike" kern="0" cap="none" spc="0" normalizeH="0" baseline="0" noProof="0">
              <a:ln>
                <a:noFill/>
              </a:ln>
              <a:solidFill>
                <a:prstClr val="black"/>
              </a:solidFill>
              <a:effectLst/>
              <a:uLnTx/>
              <a:uFillTx/>
              <a:latin typeface="Arial" panose="020B0604020202020204" pitchFamily="34" charset="0"/>
              <a:ea typeface="Times New Roman" panose="02020603050405020304" pitchFamily="18" charset="0"/>
              <a:cs typeface="+mn-cs"/>
            </a:rPr>
            <a:t>Feld M19, N19: Das mit Wahrscheinlichkeitsvorgabe (Feld M13, N13) vorh. Alter</a:t>
          </a:r>
          <a:endParaRPr kumimoji="0" lang="de-CH" sz="1400" b="0" i="0" u="none" strike="noStrike" kern="0" cap="none" spc="0" normalizeH="0" baseline="0" noProof="0">
            <a:ln>
              <a:noFill/>
            </a:ln>
            <a:solidFill>
              <a:prstClr val="black"/>
            </a:solidFill>
            <a:effectLst/>
            <a:uLnTx/>
            <a:uFillTx/>
            <a:latin typeface="Times New Roman" panose="02020603050405020304" pitchFamily="18" charset="0"/>
            <a:ea typeface="Times New Roman" panose="02020603050405020304" pitchFamily="18" charset="0"/>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CH" sz="1200" b="0" i="0" u="none" strike="noStrike" kern="0" cap="none" spc="0" normalizeH="0" baseline="0" noProof="0">
              <a:ln>
                <a:noFill/>
              </a:ln>
              <a:solidFill>
                <a:prstClr val="black"/>
              </a:solidFill>
              <a:effectLst/>
              <a:uLnTx/>
              <a:uFillTx/>
              <a:latin typeface="Arial" panose="020B0604020202020204" pitchFamily="34" charset="0"/>
              <a:ea typeface="Times New Roman" panose="02020603050405020304" pitchFamily="18" charset="0"/>
              <a:cs typeface="+mn-cs"/>
            </a:rPr>
            <a:t>Feld M23, N23: Die Wahrscheinlichkeit, das «Aktuelle Alter» zu überleben C23, D23)</a:t>
          </a:r>
          <a:endParaRPr kumimoji="0" lang="de-CH" sz="1400" b="0" i="0" u="none" strike="noStrike" kern="0" cap="none" spc="0" normalizeH="0" baseline="0" noProof="0">
            <a:ln>
              <a:noFill/>
            </a:ln>
            <a:solidFill>
              <a:prstClr val="black"/>
            </a:solidFill>
            <a:effectLst/>
            <a:uLnTx/>
            <a:uFillTx/>
            <a:latin typeface="Times New Roman" panose="02020603050405020304" pitchFamily="18" charset="0"/>
            <a:ea typeface="Times New Roman" panose="02020603050405020304" pitchFamily="18" charset="0"/>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CH" sz="1200" b="0" i="0" u="none" strike="noStrike" kern="0" cap="none" spc="0" normalizeH="0" baseline="0" noProof="0">
              <a:ln>
                <a:noFill/>
              </a:ln>
              <a:solidFill>
                <a:prstClr val="black"/>
              </a:solidFill>
              <a:effectLst/>
              <a:uLnTx/>
              <a:uFillTx/>
              <a:latin typeface="Arial" panose="020B0604020202020204" pitchFamily="34" charset="0"/>
              <a:ea typeface="Times New Roman" panose="02020603050405020304" pitchFamily="18" charset="0"/>
              <a:cs typeface="+mn-cs"/>
            </a:rPr>
            <a:t>Feld M29, N29: Das mit Wahrscheinlichkeitsvorgabe (Feld M14, N14) errechnete</a:t>
          </a:r>
        </a:p>
        <a:p>
          <a:pPr marL="0" marR="0" lvl="0" indent="0" defTabSz="914400" eaLnBrk="1" fontAlgn="auto" latinLnBrk="0" hangingPunct="1">
            <a:lnSpc>
              <a:spcPct val="100000"/>
            </a:lnSpc>
            <a:spcBef>
              <a:spcPts val="0"/>
            </a:spcBef>
            <a:spcAft>
              <a:spcPts val="0"/>
            </a:spcAft>
            <a:buClrTx/>
            <a:buSzTx/>
            <a:buFontTx/>
            <a:buNone/>
            <a:tabLst/>
            <a:defRPr/>
          </a:pPr>
          <a:r>
            <a:rPr kumimoji="0" lang="de-CH" sz="1200" b="0" i="0" u="none" strike="noStrike" kern="0" cap="none" spc="0" normalizeH="0" baseline="0" noProof="0">
              <a:ln>
                <a:noFill/>
              </a:ln>
              <a:solidFill>
                <a:prstClr val="black"/>
              </a:solidFill>
              <a:effectLst/>
              <a:uLnTx/>
              <a:uFillTx/>
              <a:latin typeface="Arial" panose="020B0604020202020204" pitchFamily="34" charset="0"/>
              <a:ea typeface="Times New Roman" panose="02020603050405020304" pitchFamily="18" charset="0"/>
              <a:cs typeface="+mn-cs"/>
            </a:rPr>
            <a:t>                         (höhere) Alter, unter der Voraussetzung, dass das Alter laut Feld</a:t>
          </a:r>
        </a:p>
        <a:p>
          <a:pPr marL="0" marR="0" lvl="0" indent="0" defTabSz="914400" eaLnBrk="1" fontAlgn="auto" latinLnBrk="0" hangingPunct="1">
            <a:lnSpc>
              <a:spcPct val="100000"/>
            </a:lnSpc>
            <a:spcBef>
              <a:spcPts val="0"/>
            </a:spcBef>
            <a:spcAft>
              <a:spcPts val="0"/>
            </a:spcAft>
            <a:buClrTx/>
            <a:buSzTx/>
            <a:buFontTx/>
            <a:buNone/>
            <a:tabLst/>
            <a:defRPr/>
          </a:pPr>
          <a:r>
            <a:rPr kumimoji="0" lang="de-CH" sz="1200" b="0" i="0" u="none" strike="noStrike" kern="0" cap="none" spc="0" normalizeH="0" baseline="0" noProof="0">
              <a:ln>
                <a:noFill/>
              </a:ln>
              <a:solidFill>
                <a:prstClr val="black"/>
              </a:solidFill>
              <a:effectLst/>
              <a:uLnTx/>
              <a:uFillTx/>
              <a:latin typeface="Arial" panose="020B0604020202020204" pitchFamily="34" charset="0"/>
              <a:ea typeface="Times New Roman" panose="02020603050405020304" pitchFamily="18" charset="0"/>
              <a:cs typeface="+mn-cs"/>
            </a:rPr>
            <a:t>                          M19, N19 tatsächlich erreicht wird.</a:t>
          </a:r>
          <a:endParaRPr kumimoji="0" lang="de-CH" sz="1400" b="0" i="0" u="none" strike="noStrike" kern="0" cap="none" spc="0" normalizeH="0" baseline="0" noProof="0">
            <a:ln>
              <a:noFill/>
            </a:ln>
            <a:solidFill>
              <a:prstClr val="black"/>
            </a:solidFill>
            <a:effectLst/>
            <a:uLnTx/>
            <a:uFillTx/>
            <a:latin typeface="Times New Roman" panose="02020603050405020304" pitchFamily="18" charset="0"/>
            <a:ea typeface="Times New Roman" panose="02020603050405020304" pitchFamily="18" charset="0"/>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CH" sz="1200" b="0" i="0" u="none" strike="noStrike" kern="0" cap="none" spc="0" normalizeH="0" baseline="0" noProof="0">
              <a:ln>
                <a:noFill/>
              </a:ln>
              <a:solidFill>
                <a:prstClr val="black"/>
              </a:solidFill>
              <a:effectLst/>
              <a:uLnTx/>
              <a:uFillTx/>
              <a:latin typeface="Arial" panose="020B0604020202020204" pitchFamily="34" charset="0"/>
              <a:ea typeface="Times New Roman" panose="02020603050405020304" pitchFamily="18" charset="0"/>
              <a:cs typeface="+mn-cs"/>
            </a:rPr>
            <a:t> Feld M33, N33: Das mit Wahrscheinlichkeitsvorgabe (Feld M12, N12) errechnete</a:t>
          </a:r>
        </a:p>
        <a:p>
          <a:pPr marL="0" marR="0" lvl="0" indent="0" defTabSz="914400" eaLnBrk="1" fontAlgn="auto" latinLnBrk="0" hangingPunct="1">
            <a:lnSpc>
              <a:spcPct val="100000"/>
            </a:lnSpc>
            <a:spcBef>
              <a:spcPts val="0"/>
            </a:spcBef>
            <a:spcAft>
              <a:spcPts val="0"/>
            </a:spcAft>
            <a:buClrTx/>
            <a:buSzTx/>
            <a:buFontTx/>
            <a:buNone/>
            <a:tabLst/>
            <a:defRPr/>
          </a:pPr>
          <a:r>
            <a:rPr kumimoji="0" lang="de-CH" sz="1200" b="0" i="0" u="none" strike="noStrike" kern="0" cap="none" spc="0" normalizeH="0" baseline="0" noProof="0">
              <a:ln>
                <a:noFill/>
              </a:ln>
              <a:solidFill>
                <a:prstClr val="black"/>
              </a:solidFill>
              <a:effectLst/>
              <a:uLnTx/>
              <a:uFillTx/>
              <a:latin typeface="Arial" panose="020B0604020202020204" pitchFamily="34" charset="0"/>
              <a:ea typeface="Times New Roman" panose="02020603050405020304" pitchFamily="18" charset="0"/>
              <a:cs typeface="+mn-cs"/>
            </a:rPr>
            <a:t>                         (reduzierte) Alter, falls jenes laut Feld M19, N19 </a:t>
          </a:r>
          <a:r>
            <a:rPr kumimoji="0" lang="de-CH" sz="1200" b="0" i="0" u="sng" strike="noStrike" kern="0" cap="none" spc="0" normalizeH="0" baseline="0" noProof="0">
              <a:ln>
                <a:noFill/>
              </a:ln>
              <a:solidFill>
                <a:prstClr val="black"/>
              </a:solidFill>
              <a:effectLst/>
              <a:uLnTx/>
              <a:uFillTx/>
              <a:latin typeface="Arial" panose="020B0604020202020204" pitchFamily="34" charset="0"/>
              <a:ea typeface="Times New Roman" panose="02020603050405020304" pitchFamily="18" charset="0"/>
              <a:cs typeface="+mn-cs"/>
            </a:rPr>
            <a:t>nicht</a:t>
          </a:r>
          <a:r>
            <a:rPr kumimoji="0" lang="de-CH" sz="1200" b="0" i="0" u="none" strike="noStrike" kern="0" cap="none" spc="0" normalizeH="0" baseline="0" noProof="0">
              <a:ln>
                <a:noFill/>
              </a:ln>
              <a:solidFill>
                <a:prstClr val="black"/>
              </a:solidFill>
              <a:effectLst/>
              <a:uLnTx/>
              <a:uFillTx/>
              <a:latin typeface="Arial" panose="020B0604020202020204" pitchFamily="34" charset="0"/>
              <a:ea typeface="Times New Roman" panose="02020603050405020304" pitchFamily="18" charset="0"/>
              <a:cs typeface="+mn-cs"/>
            </a:rPr>
            <a:t> erreicht wird.</a:t>
          </a:r>
          <a:endParaRPr kumimoji="0" lang="de-CH" sz="1400" b="0" i="0" u="none" strike="noStrike" kern="0" cap="none" spc="0" normalizeH="0" baseline="0" noProof="0">
            <a:ln>
              <a:noFill/>
            </a:ln>
            <a:solidFill>
              <a:prstClr val="black"/>
            </a:solidFill>
            <a:effectLst/>
            <a:uLnTx/>
            <a:uFillTx/>
            <a:latin typeface="Times New Roman" panose="02020603050405020304" pitchFamily="18" charset="0"/>
            <a:ea typeface="Times New Roman" panose="02020603050405020304" pitchFamily="18" charset="0"/>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CH" sz="1200" b="0" i="0" u="none" strike="noStrike" kern="0" cap="none" spc="0" normalizeH="0" baseline="0" noProof="0">
              <a:ln>
                <a:noFill/>
              </a:ln>
              <a:solidFill>
                <a:prstClr val="black"/>
              </a:solidFill>
              <a:effectLst/>
              <a:uLnTx/>
              <a:uFillTx/>
              <a:latin typeface="Arial" panose="020B0604020202020204" pitchFamily="34" charset="0"/>
              <a:ea typeface="Times New Roman" panose="02020603050405020304" pitchFamily="18" charset="0"/>
              <a:cs typeface="+mn-cs"/>
            </a:rPr>
            <a:t> </a:t>
          </a:r>
          <a:endParaRPr kumimoji="0" lang="de-CH" sz="1400" b="0" i="0" u="none" strike="noStrike" kern="0" cap="none" spc="0" normalizeH="0" baseline="0" noProof="0">
            <a:ln>
              <a:noFill/>
            </a:ln>
            <a:solidFill>
              <a:prstClr val="black"/>
            </a:solidFill>
            <a:effectLst/>
            <a:uLnTx/>
            <a:uFillTx/>
            <a:latin typeface="Times New Roman" panose="02020603050405020304" pitchFamily="18" charset="0"/>
            <a:ea typeface="Times New Roman" panose="02020603050405020304" pitchFamily="18" charset="0"/>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CH" sz="1200" b="0" i="0" u="none" strike="noStrike" kern="0" cap="none" spc="0" normalizeH="0" baseline="0" noProof="0">
              <a:ln>
                <a:noFill/>
              </a:ln>
              <a:solidFill>
                <a:prstClr val="black"/>
              </a:solidFill>
              <a:effectLst/>
              <a:uLnTx/>
              <a:uFillTx/>
              <a:latin typeface="Arial" panose="020B0604020202020204" pitchFamily="34" charset="0"/>
              <a:ea typeface="Times New Roman" panose="02020603050405020304" pitchFamily="18" charset="0"/>
              <a:cs typeface="+mn-cs"/>
            </a:rPr>
            <a:t>Die ab gegebenem/berechnetem Alter (Felder M11, N11; M19, N19; M29, N29; M33, N33) jeweils noch verbleibende mittlere Restlebenszeit (Felder P11, Q11; P19, Q19; P29, Q29; P33; Q33).</a:t>
          </a:r>
          <a:r>
            <a:rPr kumimoji="0" lang="de-CH" sz="1100" b="0" i="0" u="none" strike="noStrike" kern="0" cap="none" spc="0" normalizeH="0" baseline="0" noProof="0">
              <a:ln>
                <a:noFill/>
              </a:ln>
              <a:solidFill>
                <a:prstClr val="black"/>
              </a:solidFill>
              <a:effectLst/>
              <a:uLnTx/>
              <a:uFillTx/>
              <a:latin typeface="Arial" panose="020B0604020202020204" pitchFamily="34" charset="0"/>
              <a:ea typeface="Times New Roman" panose="02020603050405020304" pitchFamily="18" charset="0"/>
              <a:cs typeface="+mn-cs"/>
            </a:rPr>
            <a:t> </a:t>
          </a:r>
          <a:r>
            <a:rPr lang="de-CH" sz="1100">
              <a:effectLst/>
              <a:latin typeface="Arial" panose="020B0604020202020204" pitchFamily="34" charset="0"/>
              <a:ea typeface="Times New Roman" panose="02020603050405020304" pitchFamily="18" charset="0"/>
            </a:rPr>
            <a:t> </a:t>
          </a:r>
          <a:endParaRPr lang="de-CH" sz="1200">
            <a:effectLst/>
            <a:latin typeface="Times New Roman" panose="02020603050405020304" pitchFamily="18" charset="0"/>
            <a:ea typeface="Times New Roman" panose="02020603050405020304" pitchFamily="18" charset="0"/>
          </a:endParaRPr>
        </a:p>
        <a:p>
          <a:pPr marL="228600">
            <a:spcAft>
              <a:spcPts val="0"/>
            </a:spcAft>
          </a:pPr>
          <a:r>
            <a:rPr lang="de-CH" sz="1100">
              <a:effectLst/>
              <a:latin typeface="Arial" panose="020B0604020202020204" pitchFamily="34" charset="0"/>
              <a:ea typeface="Times New Roman" panose="02020603050405020304" pitchFamily="18" charset="0"/>
            </a:rPr>
            <a:t>	 </a:t>
          </a:r>
          <a:endParaRPr lang="de-CH" sz="1200">
            <a:effectLst/>
            <a:latin typeface="Times New Roman" panose="02020603050405020304" pitchFamily="18" charset="0"/>
            <a:ea typeface="Times New Roman" panose="02020603050405020304" pitchFamily="18" charset="0"/>
          </a:endParaRPr>
        </a:p>
        <a:p>
          <a:pPr>
            <a:spcAft>
              <a:spcPts val="0"/>
            </a:spcAft>
          </a:pPr>
          <a:r>
            <a:rPr lang="de-CH" sz="1200" b="1">
              <a:effectLst/>
              <a:latin typeface="Arial" panose="020B0604020202020204" pitchFamily="34" charset="0"/>
              <a:ea typeface="Times New Roman" panose="02020603050405020304" pitchFamily="18" charset="0"/>
            </a:rPr>
            <a:t>Schlussbemerkung</a:t>
          </a:r>
          <a:endParaRPr lang="de-CH" sz="1200">
            <a:effectLst/>
            <a:latin typeface="Times New Roman" panose="02020603050405020304" pitchFamily="18" charset="0"/>
            <a:ea typeface="Times New Roman" panose="02020603050405020304" pitchFamily="18" charset="0"/>
          </a:endParaRPr>
        </a:p>
        <a:p>
          <a:pPr>
            <a:spcAft>
              <a:spcPts val="0"/>
            </a:spcAft>
          </a:pPr>
          <a:r>
            <a:rPr lang="de-CH" sz="1200">
              <a:effectLst/>
              <a:latin typeface="Arial" panose="020B0604020202020204" pitchFamily="34" charset="0"/>
              <a:ea typeface="Times New Roman" panose="02020603050405020304" pitchFamily="18" charset="0"/>
            </a:rPr>
            <a:t>Zu gegebener Zeit kann das vorliegende Abfragemodell nach aktualisierten Rohdaten von</a:t>
          </a:r>
          <a:r>
            <a:rPr lang="de-CH" sz="1200" baseline="0">
              <a:effectLst/>
              <a:latin typeface="Arial" panose="020B0604020202020204" pitchFamily="34" charset="0"/>
              <a:ea typeface="Times New Roman" panose="02020603050405020304" pitchFamily="18" charset="0"/>
            </a:rPr>
            <a:t> </a:t>
          </a:r>
          <a:r>
            <a:rPr lang="de-CH" sz="1200" u="sng">
              <a:solidFill>
                <a:schemeClr val="accent1"/>
              </a:solidFill>
              <a:effectLst/>
              <a:latin typeface="Arial" panose="020B0604020202020204" pitchFamily="34" charset="0"/>
              <a:ea typeface="Times New Roman" panose="02020603050405020304" pitchFamily="18" charset="0"/>
              <a:hlinkClick xmlns:r="http://schemas.openxmlformats.org/officeDocument/2006/relationships" r:id="">
                <a:extLst>
                  <a:ext uri="{A12FA001-AC4F-418D-AE19-62706E023703}">
                    <ahyp:hlinkClr xmlns:ahyp="http://schemas.microsoft.com/office/drawing/2018/hyperlinkcolor" val="tx"/>
                  </a:ext>
                </a:extLst>
              </a:hlinkClick>
            </a:rPr>
            <a:t>www.mortality.org</a:t>
          </a:r>
          <a:r>
            <a:rPr lang="de-CH" sz="1200" u="none" strike="noStrike">
              <a:solidFill>
                <a:srgbClr val="FF0000"/>
              </a:solidFill>
              <a:effectLst/>
              <a:latin typeface="Arial" panose="020B0604020202020204" pitchFamily="34" charset="0"/>
              <a:ea typeface="Times New Roman" panose="02020603050405020304" pitchFamily="18" charset="0"/>
            </a:rPr>
            <a:t>***</a:t>
          </a:r>
          <a:r>
            <a:rPr lang="de-CH" sz="1200">
              <a:effectLst/>
              <a:latin typeface="Arial" panose="020B0604020202020204" pitchFamily="34" charset="0"/>
              <a:ea typeface="Times New Roman" panose="02020603050405020304" pitchFamily="18" charset="0"/>
            </a:rPr>
            <a:t> länderweise angepasst oder ausgebaut werden.</a:t>
          </a:r>
          <a:endParaRPr lang="de-CH" sz="1200">
            <a:effectLst/>
            <a:latin typeface="Times New Roman" panose="02020603050405020304" pitchFamily="18" charset="0"/>
            <a:ea typeface="Times New Roman" panose="02020603050405020304" pitchFamily="18" charset="0"/>
          </a:endParaRPr>
        </a:p>
        <a:p>
          <a:pPr>
            <a:spcAft>
              <a:spcPts val="0"/>
            </a:spcAft>
          </a:pPr>
          <a:endParaRPr lang="de-CH" sz="1200" baseline="0">
            <a:effectLst/>
            <a:latin typeface="Times New Roman" panose="02020603050405020304" pitchFamily="18" charset="0"/>
            <a:ea typeface="Times New Roman" panose="02020603050405020304" pitchFamily="18" charset="0"/>
          </a:endParaRPr>
        </a:p>
        <a:p>
          <a:pPr>
            <a:spcAft>
              <a:spcPts val="0"/>
            </a:spcAft>
          </a:pPr>
          <a:r>
            <a:rPr lang="de-CH" sz="1200" baseline="0">
              <a:effectLst/>
              <a:latin typeface="Arial" panose="020B0604020202020204" pitchFamily="34" charset="0"/>
              <a:ea typeface="Times New Roman" panose="02020603050405020304" pitchFamily="18" charset="0"/>
              <a:cs typeface="Arial" panose="020B0604020202020204" pitchFamily="34" charset="0"/>
            </a:rPr>
            <a:t>                                                                                               September 2018 / Ba.</a:t>
          </a:r>
        </a:p>
        <a:p>
          <a:pPr>
            <a:spcAft>
              <a:spcPts val="0"/>
            </a:spcAft>
          </a:pPr>
          <a:r>
            <a:rPr lang="de-CH" sz="1200" baseline="0">
              <a:effectLst/>
              <a:latin typeface="Times New Roman" panose="02020603050405020304" pitchFamily="18" charset="0"/>
              <a:ea typeface="Times New Roman" panose="02020603050405020304" pitchFamily="18" charset="0"/>
            </a:rPr>
            <a:t>                                                                                                         </a:t>
          </a:r>
          <a:r>
            <a:rPr lang="de-CH" sz="1100" baseline="0">
              <a:effectLst/>
              <a:latin typeface="Arial" panose="020B0604020202020204" pitchFamily="34" charset="0"/>
              <a:ea typeface="Times New Roman" panose="02020603050405020304" pitchFamily="18" charset="0"/>
            </a:rPr>
            <a:t>    </a:t>
          </a:r>
          <a:endParaRPr lang="de-CH" sz="1200">
            <a:effectLst/>
            <a:latin typeface="Times New Roman" panose="02020603050405020304" pitchFamily="18" charset="0"/>
            <a:ea typeface="Times New Roman" panose="02020603050405020304" pitchFamily="18" charset="0"/>
          </a:endParaRPr>
        </a:p>
        <a:p>
          <a:pPr>
            <a:spcAft>
              <a:spcPts val="0"/>
            </a:spcAft>
          </a:pPr>
          <a:r>
            <a:rPr lang="de-CH" sz="1100">
              <a:effectLst/>
              <a:latin typeface="Arial" panose="020B0604020202020204" pitchFamily="34" charset="0"/>
              <a:ea typeface="Times New Roman" panose="02020603050405020304" pitchFamily="18" charset="0"/>
            </a:rPr>
            <a:t> </a:t>
          </a:r>
        </a:p>
        <a:p>
          <a:pPr>
            <a:spcAft>
              <a:spcPts val="0"/>
            </a:spcAft>
          </a:pPr>
          <a:endParaRPr lang="de-CH" sz="1100">
            <a:effectLst/>
            <a:latin typeface="Arial" panose="020B0604020202020204" pitchFamily="34" charset="0"/>
            <a:ea typeface="Times New Roman" panose="02020603050405020304" pitchFamily="18" charset="0"/>
          </a:endParaRPr>
        </a:p>
        <a:p>
          <a:pPr>
            <a:spcAft>
              <a:spcPts val="0"/>
            </a:spcAft>
          </a:pPr>
          <a:endParaRPr lang="de-CH" sz="1100">
            <a:effectLst/>
            <a:latin typeface="Arial" panose="020B0604020202020204" pitchFamily="34" charset="0"/>
            <a:ea typeface="Times New Roman" panose="02020603050405020304" pitchFamily="18" charset="0"/>
          </a:endParaRPr>
        </a:p>
        <a:p>
          <a:pPr>
            <a:spcAft>
              <a:spcPts val="0"/>
            </a:spcAft>
          </a:pPr>
          <a:endParaRPr lang="de-CH" sz="1100">
            <a:effectLst/>
            <a:latin typeface="Arial" panose="020B0604020202020204" pitchFamily="34" charset="0"/>
            <a:ea typeface="Times New Roman" panose="02020603050405020304" pitchFamily="18" charset="0"/>
          </a:endParaRPr>
        </a:p>
        <a:p>
          <a:pPr>
            <a:spcAft>
              <a:spcPts val="0"/>
            </a:spcAft>
          </a:pPr>
          <a:endParaRPr lang="de-CH" sz="1100">
            <a:effectLst/>
            <a:latin typeface="Arial" panose="020B0604020202020204" pitchFamily="34" charset="0"/>
            <a:ea typeface="Times New Roman" panose="02020603050405020304" pitchFamily="18" charset="0"/>
          </a:endParaRPr>
        </a:p>
        <a:p>
          <a:pPr>
            <a:spcAft>
              <a:spcPts val="0"/>
            </a:spcAft>
          </a:pPr>
          <a:endParaRPr lang="de-CH" sz="1200">
            <a:effectLst/>
            <a:latin typeface="Times New Roman" panose="02020603050405020304" pitchFamily="18" charset="0"/>
            <a:ea typeface="Times New Roman" panose="02020603050405020304" pitchFamily="18" charset="0"/>
          </a:endParaRPr>
        </a:p>
        <a:p>
          <a:pPr>
            <a:spcAft>
              <a:spcPts val="0"/>
            </a:spcAft>
          </a:pPr>
          <a:r>
            <a:rPr lang="de-CH" sz="1100">
              <a:effectLst/>
              <a:latin typeface="Arial" panose="020B0604020202020204" pitchFamily="34" charset="0"/>
              <a:ea typeface="Times New Roman" panose="02020603050405020304" pitchFamily="18" charset="0"/>
            </a:rPr>
            <a:t> </a:t>
          </a:r>
          <a:endParaRPr lang="de-CH" sz="1200">
            <a:effectLst/>
            <a:latin typeface="Times New Roman" panose="02020603050405020304" pitchFamily="18" charset="0"/>
            <a:ea typeface="Times New Roman" panose="02020603050405020304" pitchFamily="18" charset="0"/>
          </a:endParaRPr>
        </a:p>
        <a:p>
          <a:pPr>
            <a:spcAft>
              <a:spcPts val="0"/>
            </a:spcAft>
          </a:pPr>
          <a:r>
            <a:rPr lang="de-CH" sz="1100">
              <a:effectLst/>
              <a:latin typeface="Arial" panose="020B0604020202020204" pitchFamily="34" charset="0"/>
              <a:ea typeface="Times New Roman" panose="02020603050405020304" pitchFamily="18" charset="0"/>
            </a:rPr>
            <a:t> </a:t>
          </a:r>
          <a:endParaRPr lang="de-CH" sz="1200">
            <a:effectLst/>
            <a:latin typeface="Times New Roman" panose="02020603050405020304" pitchFamily="18" charset="0"/>
            <a:ea typeface="Times New Roman" panose="02020603050405020304" pitchFamily="18" charset="0"/>
          </a:endParaRPr>
        </a:p>
        <a:p>
          <a:pPr>
            <a:spcAft>
              <a:spcPts val="0"/>
            </a:spcAft>
          </a:pPr>
          <a:endParaRPr lang="de-CH" sz="1200">
            <a:effectLst/>
            <a:latin typeface="Times New Roman" panose="02020603050405020304" pitchFamily="18" charset="0"/>
            <a:ea typeface="Times New Roman" panose="02020603050405020304" pitchFamily="18" charset="0"/>
          </a:endParaRPr>
        </a:p>
        <a:p>
          <a:pPr>
            <a:spcAft>
              <a:spcPts val="0"/>
            </a:spcAft>
          </a:pPr>
          <a:r>
            <a:rPr lang="de-CH" sz="1100">
              <a:effectLst/>
              <a:latin typeface="Arial" panose="020B0604020202020204" pitchFamily="34" charset="0"/>
              <a:ea typeface="Times New Roman" panose="02020603050405020304" pitchFamily="18" charset="0"/>
            </a:rPr>
            <a:t> </a:t>
          </a:r>
          <a:endParaRPr lang="de-CH" sz="1200">
            <a:effectLst/>
            <a:latin typeface="Times New Roman" panose="02020603050405020304" pitchFamily="18" charset="0"/>
            <a:ea typeface="Times New Roman" panose="02020603050405020304" pitchFamily="18" charset="0"/>
          </a:endParaRPr>
        </a:p>
        <a:p>
          <a:pPr>
            <a:spcAft>
              <a:spcPts val="0"/>
            </a:spcAft>
          </a:pPr>
          <a:r>
            <a:rPr lang="de-CH" sz="1100">
              <a:effectLst/>
              <a:latin typeface="Arial" panose="020B0604020202020204" pitchFamily="34" charset="0"/>
              <a:ea typeface="Times New Roman" panose="02020603050405020304" pitchFamily="18" charset="0"/>
            </a:rPr>
            <a:t> </a:t>
          </a:r>
          <a:endParaRPr lang="de-CH" sz="1200">
            <a:effectLst/>
            <a:latin typeface="Times New Roman" panose="02020603050405020304" pitchFamily="18" charset="0"/>
            <a:ea typeface="Times New Roman" panose="02020603050405020304" pitchFamily="18" charset="0"/>
          </a:endParaRPr>
        </a:p>
        <a:p>
          <a:pPr marL="228600">
            <a:spcAft>
              <a:spcPts val="0"/>
            </a:spcAft>
          </a:pPr>
          <a:r>
            <a:rPr lang="de-CH" sz="1100">
              <a:effectLst/>
              <a:latin typeface="Arial" panose="020B0604020202020204" pitchFamily="34" charset="0"/>
              <a:ea typeface="Times New Roman" panose="02020603050405020304" pitchFamily="18" charset="0"/>
            </a:rPr>
            <a:t> </a:t>
          </a:r>
          <a:endParaRPr lang="de-CH" sz="1200">
            <a:effectLst/>
            <a:latin typeface="Times New Roman" panose="02020603050405020304" pitchFamily="18" charset="0"/>
            <a:ea typeface="Times New Roman" panose="02020603050405020304" pitchFamily="18" charset="0"/>
          </a:endParaRPr>
        </a:p>
        <a:p>
          <a:pPr marL="4046220">
            <a:spcAft>
              <a:spcPts val="0"/>
            </a:spcAft>
          </a:pPr>
          <a:r>
            <a:rPr lang="de-CH" sz="1100">
              <a:effectLst/>
              <a:latin typeface="Arial" panose="020B0604020202020204" pitchFamily="34" charset="0"/>
              <a:ea typeface="Times New Roman" panose="02020603050405020304" pitchFamily="18" charset="0"/>
            </a:rPr>
            <a:t> </a:t>
          </a:r>
          <a:endParaRPr lang="de-CH" sz="1200">
            <a:effectLst/>
            <a:latin typeface="Times New Roman" panose="02020603050405020304" pitchFamily="18" charset="0"/>
            <a:ea typeface="Times New Roman" panose="02020603050405020304" pitchFamily="18" charset="0"/>
          </a:endParaRPr>
        </a:p>
        <a:p>
          <a:pPr>
            <a:spcAft>
              <a:spcPts val="0"/>
            </a:spcAft>
          </a:pPr>
          <a:r>
            <a:rPr lang="de-CH" sz="1100">
              <a:effectLst/>
              <a:latin typeface="Arial" panose="020B0604020202020204" pitchFamily="34" charset="0"/>
              <a:ea typeface="Times New Roman" panose="02020603050405020304" pitchFamily="18" charset="0"/>
            </a:rPr>
            <a:t> </a:t>
          </a:r>
          <a:endParaRPr lang="de-CH" sz="1200">
            <a:effectLst/>
            <a:latin typeface="Times New Roman" panose="02020603050405020304" pitchFamily="18" charset="0"/>
            <a:ea typeface="Times New Roman" panose="02020603050405020304" pitchFamily="18" charset="0"/>
          </a:endParaRPr>
        </a:p>
        <a:p>
          <a:pPr marL="4046220">
            <a:spcAft>
              <a:spcPts val="0"/>
            </a:spcAft>
          </a:pPr>
          <a:r>
            <a:rPr lang="de-CH" sz="1100">
              <a:effectLst/>
              <a:latin typeface="Arial" panose="020B0604020202020204" pitchFamily="34" charset="0"/>
              <a:ea typeface="Times New Roman" panose="02020603050405020304" pitchFamily="18" charset="0"/>
            </a:rPr>
            <a:t> </a:t>
          </a:r>
          <a:endParaRPr lang="de-CH" sz="1200">
            <a:effectLst/>
            <a:latin typeface="Times New Roman" panose="02020603050405020304" pitchFamily="18" charset="0"/>
            <a:ea typeface="Times New Roman" panose="02020603050405020304" pitchFamily="18" charset="0"/>
          </a:endParaRPr>
        </a:p>
        <a:p>
          <a:pPr>
            <a:spcAft>
              <a:spcPts val="0"/>
            </a:spcAft>
          </a:pPr>
          <a:r>
            <a:rPr lang="de-CH" sz="1100">
              <a:effectLst/>
              <a:latin typeface="Arial" panose="020B0604020202020204" pitchFamily="34" charset="0"/>
              <a:ea typeface="Times New Roman" panose="02020603050405020304" pitchFamily="18" charset="0"/>
            </a:rPr>
            <a:t> </a:t>
          </a:r>
          <a:endParaRPr lang="de-CH" sz="1200">
            <a:effectLst/>
            <a:latin typeface="Times New Roman" panose="02020603050405020304" pitchFamily="18" charset="0"/>
            <a:ea typeface="Times New Roman" panose="02020603050405020304" pitchFamily="18" charset="0"/>
          </a:endParaRPr>
        </a:p>
        <a:p>
          <a:endParaRPr lang="de-CH" sz="1100"/>
        </a:p>
      </xdr:txBody>
    </xdr:sp>
    <xdr:clientData/>
  </xdr:one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lebenserwartung.info/index-Dateien/sterbetafel.htm" TargetMode="External"/><Relationship Id="rId1" Type="http://schemas.openxmlformats.org/officeDocument/2006/relationships/hyperlink" Target="http://www.mortality.org/"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3493B0-9F63-4361-B068-660055229E31}">
  <dimension ref="A1:O63"/>
  <sheetViews>
    <sheetView tabSelected="1" zoomScale="72" workbookViewId="0">
      <selection sqref="A1:XFD1048576"/>
    </sheetView>
  </sheetViews>
  <sheetFormatPr baseColWidth="10" defaultRowHeight="13.2" x14ac:dyDescent="0.25"/>
  <cols>
    <col min="7" max="7" width="18.88671875" customWidth="1"/>
    <col min="8" max="8" width="14" customWidth="1"/>
    <col min="13" max="13" width="10.21875" customWidth="1"/>
    <col min="14" max="14" width="17.6640625" customWidth="1"/>
  </cols>
  <sheetData>
    <row r="1" spans="1:15" x14ac:dyDescent="0.25">
      <c r="A1" s="1"/>
      <c r="B1" s="1"/>
      <c r="C1" s="1"/>
      <c r="D1" s="1"/>
      <c r="E1" s="1"/>
      <c r="F1" s="1"/>
      <c r="G1" s="1"/>
      <c r="H1" s="1"/>
      <c r="I1" s="1"/>
      <c r="J1" s="1"/>
      <c r="K1" s="1"/>
      <c r="L1" s="1"/>
      <c r="M1" s="1"/>
      <c r="N1" s="1"/>
      <c r="O1" s="209"/>
    </row>
    <row r="2" spans="1:15" x14ac:dyDescent="0.25">
      <c r="A2" s="1"/>
      <c r="B2" s="1"/>
      <c r="C2" s="1"/>
      <c r="D2" s="1"/>
      <c r="E2" s="1"/>
      <c r="F2" s="1"/>
      <c r="G2" s="1"/>
      <c r="H2" s="1"/>
      <c r="I2" s="1"/>
      <c r="J2" s="1"/>
      <c r="K2" s="1"/>
      <c r="L2" s="1"/>
      <c r="M2" s="1"/>
      <c r="N2" s="1"/>
      <c r="O2" s="209"/>
    </row>
    <row r="3" spans="1:15" x14ac:dyDescent="0.25">
      <c r="A3" s="1"/>
      <c r="B3" s="1"/>
      <c r="C3" s="1"/>
      <c r="D3" s="1"/>
      <c r="E3" s="1"/>
      <c r="F3" s="1"/>
      <c r="G3" s="1"/>
      <c r="H3" s="1"/>
      <c r="I3" s="1"/>
      <c r="J3" s="1"/>
      <c r="K3" s="1"/>
      <c r="L3" s="1"/>
      <c r="M3" s="1"/>
      <c r="N3" s="1"/>
      <c r="O3" s="209"/>
    </row>
    <row r="4" spans="1:15" x14ac:dyDescent="0.25">
      <c r="A4" s="1"/>
      <c r="B4" s="1"/>
      <c r="C4" s="1"/>
      <c r="D4" s="1"/>
      <c r="E4" s="1"/>
      <c r="F4" s="1"/>
      <c r="G4" s="1"/>
      <c r="H4" s="1"/>
      <c r="I4" s="1"/>
      <c r="J4" s="1"/>
      <c r="K4" s="1"/>
      <c r="L4" s="1"/>
      <c r="M4" s="1"/>
      <c r="N4" s="1"/>
      <c r="O4" s="209"/>
    </row>
    <row r="5" spans="1:15" x14ac:dyDescent="0.25">
      <c r="A5" s="1"/>
      <c r="B5" s="1"/>
      <c r="C5" s="1"/>
      <c r="D5" s="1"/>
      <c r="E5" s="1"/>
      <c r="F5" s="1"/>
      <c r="G5" s="1"/>
      <c r="H5" s="1"/>
      <c r="I5" s="1"/>
      <c r="J5" s="1"/>
      <c r="K5" s="1"/>
      <c r="L5" s="1"/>
      <c r="M5" s="1"/>
      <c r="N5" s="1"/>
      <c r="O5" s="209"/>
    </row>
    <row r="6" spans="1:15" x14ac:dyDescent="0.25">
      <c r="A6" s="1"/>
      <c r="B6" s="1"/>
      <c r="C6" s="1"/>
      <c r="D6" s="1"/>
      <c r="E6" s="1"/>
      <c r="F6" s="1"/>
      <c r="G6" s="1"/>
      <c r="H6" s="1"/>
      <c r="I6" s="1"/>
      <c r="J6" s="1"/>
      <c r="K6" s="1"/>
      <c r="L6" s="1"/>
      <c r="M6" s="1"/>
      <c r="N6" s="1"/>
      <c r="O6" s="209"/>
    </row>
    <row r="7" spans="1:15" x14ac:dyDescent="0.25">
      <c r="A7" s="1"/>
      <c r="B7" s="1"/>
      <c r="C7" s="1"/>
      <c r="D7" s="1"/>
      <c r="E7" s="1"/>
      <c r="F7" s="1"/>
      <c r="G7" s="1"/>
      <c r="H7" s="1"/>
      <c r="I7" s="1"/>
      <c r="J7" s="1"/>
      <c r="K7" s="1"/>
      <c r="L7" s="1"/>
      <c r="M7" s="1"/>
      <c r="N7" s="1"/>
      <c r="O7" s="209"/>
    </row>
    <row r="8" spans="1:15" x14ac:dyDescent="0.25">
      <c r="A8" s="1"/>
      <c r="B8" s="1"/>
      <c r="C8" s="1"/>
      <c r="D8" s="1"/>
      <c r="E8" s="1"/>
      <c r="F8" s="1"/>
      <c r="G8" s="1"/>
      <c r="H8" s="1"/>
      <c r="I8" s="1"/>
      <c r="J8" s="1"/>
      <c r="K8" s="1"/>
      <c r="L8" s="1"/>
      <c r="M8" s="1"/>
      <c r="N8" s="1"/>
      <c r="O8" s="209"/>
    </row>
    <row r="9" spans="1:15" x14ac:dyDescent="0.25">
      <c r="A9" s="1"/>
      <c r="B9" s="1"/>
      <c r="C9" s="1"/>
      <c r="D9" s="1"/>
      <c r="E9" s="1"/>
      <c r="F9" s="1"/>
      <c r="G9" s="1"/>
      <c r="H9" s="1"/>
      <c r="I9" s="1"/>
      <c r="J9" s="1"/>
      <c r="K9" s="1"/>
      <c r="L9" s="1"/>
      <c r="M9" s="1"/>
      <c r="N9" s="1"/>
      <c r="O9" s="209"/>
    </row>
    <row r="10" spans="1:15" x14ac:dyDescent="0.25">
      <c r="A10" s="1"/>
      <c r="B10" s="1"/>
      <c r="C10" s="1"/>
      <c r="D10" s="1"/>
      <c r="E10" s="1"/>
      <c r="F10" s="1"/>
      <c r="G10" s="1"/>
      <c r="H10" s="1"/>
      <c r="I10" s="1"/>
      <c r="J10" s="1"/>
      <c r="K10" s="1"/>
      <c r="L10" s="1"/>
      <c r="M10" s="1"/>
      <c r="N10" s="1"/>
      <c r="O10" s="209"/>
    </row>
    <row r="11" spans="1:15" x14ac:dyDescent="0.25">
      <c r="A11" s="1"/>
      <c r="B11" s="1"/>
      <c r="C11" s="1"/>
      <c r="D11" s="1"/>
      <c r="E11" s="1"/>
      <c r="F11" s="1"/>
      <c r="G11" s="1"/>
      <c r="H11" s="1"/>
      <c r="I11" s="1"/>
      <c r="J11" s="1"/>
      <c r="K11" s="1"/>
      <c r="L11" s="1"/>
      <c r="M11" s="1"/>
      <c r="N11" s="1"/>
      <c r="O11" s="209"/>
    </row>
    <row r="12" spans="1:15" x14ac:dyDescent="0.25">
      <c r="A12" s="1"/>
      <c r="B12" s="1"/>
      <c r="C12" s="1"/>
      <c r="D12" s="1"/>
      <c r="E12" s="1"/>
      <c r="F12" s="1"/>
      <c r="G12" s="1"/>
      <c r="H12" s="1"/>
      <c r="I12" s="1"/>
      <c r="J12" s="1"/>
      <c r="K12" s="1"/>
      <c r="L12" s="1"/>
      <c r="M12" s="1"/>
      <c r="N12" s="1"/>
      <c r="O12" s="209"/>
    </row>
    <row r="13" spans="1:15" x14ac:dyDescent="0.25">
      <c r="A13" s="1"/>
      <c r="B13" s="1"/>
      <c r="C13" s="1"/>
      <c r="D13" s="1"/>
      <c r="E13" s="1"/>
      <c r="F13" s="1"/>
      <c r="G13" s="1"/>
      <c r="H13" s="1"/>
      <c r="I13" s="1"/>
      <c r="J13" s="1"/>
      <c r="K13" s="1"/>
      <c r="L13" s="1"/>
      <c r="M13" s="1"/>
      <c r="N13" s="1"/>
      <c r="O13" s="209"/>
    </row>
    <row r="14" spans="1:15" x14ac:dyDescent="0.25">
      <c r="A14" s="1"/>
      <c r="B14" s="1"/>
      <c r="C14" s="1"/>
      <c r="D14" s="1"/>
      <c r="E14" s="1"/>
      <c r="F14" s="1"/>
      <c r="G14" s="1"/>
      <c r="H14" s="1"/>
      <c r="I14" s="1"/>
      <c r="J14" s="1"/>
      <c r="K14" s="1"/>
      <c r="L14" s="1"/>
      <c r="M14" s="1"/>
      <c r="N14" s="1"/>
      <c r="O14" s="209"/>
    </row>
    <row r="15" spans="1:15" x14ac:dyDescent="0.25">
      <c r="A15" s="1"/>
      <c r="B15" s="1"/>
      <c r="C15" s="1"/>
      <c r="D15" s="1"/>
      <c r="E15" s="1"/>
      <c r="F15" s="1"/>
      <c r="G15" s="1"/>
      <c r="H15" s="1"/>
      <c r="I15" s="1"/>
      <c r="J15" s="1"/>
      <c r="K15" s="1"/>
      <c r="L15" s="1"/>
      <c r="M15" s="1"/>
      <c r="N15" s="1"/>
      <c r="O15" s="209"/>
    </row>
    <row r="16" spans="1:15" x14ac:dyDescent="0.25">
      <c r="A16" s="1"/>
      <c r="B16" s="1"/>
      <c r="C16" s="1"/>
      <c r="D16" s="1"/>
      <c r="E16" s="1"/>
      <c r="F16" s="1"/>
      <c r="G16" s="1"/>
      <c r="H16" s="1"/>
      <c r="I16" s="1"/>
      <c r="J16" s="1"/>
      <c r="K16" s="1"/>
      <c r="L16" s="1"/>
      <c r="M16" s="1"/>
      <c r="N16" s="1"/>
      <c r="O16" s="209"/>
    </row>
    <row r="17" spans="1:15" x14ac:dyDescent="0.25">
      <c r="A17" s="1"/>
      <c r="B17" s="1"/>
      <c r="C17" s="1"/>
      <c r="D17" s="1"/>
      <c r="E17" s="1"/>
      <c r="F17" s="1"/>
      <c r="G17" s="1"/>
      <c r="H17" s="1"/>
      <c r="I17" s="1"/>
      <c r="J17" s="1"/>
      <c r="K17" s="1"/>
      <c r="L17" s="1"/>
      <c r="M17" s="1"/>
      <c r="N17" s="1"/>
      <c r="O17" s="209"/>
    </row>
    <row r="18" spans="1:15" x14ac:dyDescent="0.25">
      <c r="A18" s="1"/>
      <c r="B18" s="1"/>
      <c r="C18" s="1"/>
      <c r="D18" s="1"/>
      <c r="E18" s="1"/>
      <c r="F18" s="1"/>
      <c r="G18" s="1"/>
      <c r="H18" s="1"/>
      <c r="I18" s="1"/>
      <c r="J18" s="1"/>
      <c r="K18" s="1"/>
      <c r="L18" s="1"/>
      <c r="M18" s="1"/>
      <c r="N18" s="1"/>
      <c r="O18" s="209"/>
    </row>
    <row r="19" spans="1:15" x14ac:dyDescent="0.25">
      <c r="A19" s="1"/>
      <c r="B19" s="1"/>
      <c r="C19" s="1"/>
      <c r="D19" s="1"/>
      <c r="E19" s="1"/>
      <c r="F19" s="1"/>
      <c r="G19" s="1"/>
      <c r="H19" s="1"/>
      <c r="I19" s="1"/>
      <c r="J19" s="1"/>
      <c r="K19" s="1"/>
      <c r="L19" s="1"/>
      <c r="M19" s="1"/>
      <c r="N19" s="1"/>
      <c r="O19" s="209"/>
    </row>
    <row r="20" spans="1:15" x14ac:dyDescent="0.25">
      <c r="A20" s="1"/>
      <c r="B20" s="1"/>
      <c r="C20" s="1"/>
      <c r="D20" s="1"/>
      <c r="E20" s="1"/>
      <c r="F20" s="1"/>
      <c r="G20" s="1"/>
      <c r="H20" s="1"/>
      <c r="I20" s="1"/>
      <c r="J20" s="1"/>
      <c r="K20" s="1"/>
      <c r="L20" s="1"/>
      <c r="M20" s="1"/>
      <c r="N20" s="1"/>
      <c r="O20" s="209"/>
    </row>
    <row r="21" spans="1:15" x14ac:dyDescent="0.25">
      <c r="A21" s="1"/>
      <c r="B21" s="1"/>
      <c r="C21" s="1"/>
      <c r="D21" s="1"/>
      <c r="E21" s="1"/>
      <c r="F21" s="1"/>
      <c r="G21" s="1"/>
      <c r="H21" s="1"/>
      <c r="I21" s="1"/>
      <c r="J21" s="1"/>
      <c r="K21" s="1"/>
      <c r="L21" s="1"/>
      <c r="M21" s="1"/>
      <c r="N21" s="1"/>
      <c r="O21" s="209"/>
    </row>
    <row r="22" spans="1:15" x14ac:dyDescent="0.25">
      <c r="A22" s="1"/>
      <c r="B22" s="1"/>
      <c r="C22" s="1"/>
      <c r="D22" s="1"/>
      <c r="E22" s="1"/>
      <c r="F22" s="1"/>
      <c r="G22" s="1"/>
      <c r="H22" s="1"/>
      <c r="I22" s="1"/>
      <c r="J22" s="1"/>
      <c r="K22" s="1"/>
      <c r="L22" s="1"/>
      <c r="M22" s="1"/>
      <c r="N22" s="1"/>
      <c r="O22" s="209"/>
    </row>
    <row r="23" spans="1:15" x14ac:dyDescent="0.25">
      <c r="A23" s="1"/>
      <c r="B23" s="1"/>
      <c r="C23" s="1"/>
      <c r="D23" s="1"/>
      <c r="E23" s="1"/>
      <c r="F23" s="1"/>
      <c r="G23" s="1"/>
      <c r="H23" s="1"/>
      <c r="I23" s="1"/>
      <c r="J23" s="1"/>
      <c r="K23" s="1"/>
      <c r="L23" s="1"/>
      <c r="M23" s="1"/>
      <c r="N23" s="1"/>
      <c r="O23" s="209"/>
    </row>
    <row r="24" spans="1:15" x14ac:dyDescent="0.25">
      <c r="A24" s="1"/>
      <c r="B24" s="1"/>
      <c r="C24" s="1"/>
      <c r="D24" s="1"/>
      <c r="E24" s="1"/>
      <c r="F24" s="1"/>
      <c r="G24" s="1"/>
      <c r="H24" s="1"/>
      <c r="I24" s="1"/>
      <c r="J24" s="1"/>
      <c r="K24" s="1"/>
      <c r="L24" s="1"/>
      <c r="M24" s="1"/>
      <c r="N24" s="1"/>
      <c r="O24" s="209"/>
    </row>
    <row r="25" spans="1:15" x14ac:dyDescent="0.25">
      <c r="A25" s="1"/>
      <c r="B25" s="1"/>
      <c r="C25" s="1"/>
      <c r="D25" s="1"/>
      <c r="E25" s="1"/>
      <c r="F25" s="1"/>
      <c r="G25" s="1"/>
      <c r="H25" s="1"/>
      <c r="I25" s="1"/>
      <c r="J25" s="1"/>
      <c r="K25" s="1"/>
      <c r="L25" s="1"/>
      <c r="M25" s="1"/>
      <c r="N25" s="1"/>
      <c r="O25" s="209"/>
    </row>
    <row r="26" spans="1:15" x14ac:dyDescent="0.25">
      <c r="A26" s="1"/>
      <c r="B26" s="1"/>
      <c r="C26" s="1"/>
      <c r="D26" s="1"/>
      <c r="E26" s="1"/>
      <c r="F26" s="1"/>
      <c r="G26" s="1"/>
      <c r="H26" s="1"/>
      <c r="I26" s="1"/>
      <c r="J26" s="1"/>
      <c r="K26" s="1"/>
      <c r="L26" s="1"/>
      <c r="M26" s="1"/>
      <c r="N26" s="1"/>
      <c r="O26" s="209"/>
    </row>
    <row r="27" spans="1:15" x14ac:dyDescent="0.25">
      <c r="A27" s="1"/>
      <c r="B27" s="1"/>
      <c r="C27" s="1"/>
      <c r="D27" s="1"/>
      <c r="E27" s="1"/>
      <c r="F27" s="1"/>
      <c r="G27" s="1"/>
      <c r="H27" s="1"/>
      <c r="I27" s="1"/>
      <c r="J27" s="1"/>
      <c r="K27" s="1"/>
      <c r="L27" s="1"/>
      <c r="M27" s="1"/>
      <c r="N27" s="1"/>
      <c r="O27" s="209"/>
    </row>
    <row r="28" spans="1:15" x14ac:dyDescent="0.25">
      <c r="A28" s="1"/>
      <c r="B28" s="1"/>
      <c r="C28" s="1"/>
      <c r="D28" s="1"/>
      <c r="E28" s="1"/>
      <c r="F28" s="1"/>
      <c r="G28" s="1"/>
      <c r="H28" s="1"/>
      <c r="I28" s="1"/>
      <c r="J28" s="1"/>
      <c r="K28" s="1"/>
      <c r="L28" s="1"/>
      <c r="M28" s="1"/>
      <c r="N28" s="1"/>
      <c r="O28" s="209"/>
    </row>
    <row r="29" spans="1:15" x14ac:dyDescent="0.25">
      <c r="A29" s="1"/>
      <c r="B29" s="1"/>
      <c r="C29" s="1"/>
      <c r="D29" s="1"/>
      <c r="E29" s="1"/>
      <c r="F29" s="1"/>
      <c r="G29" s="1"/>
      <c r="H29" s="1"/>
      <c r="I29" s="1"/>
      <c r="J29" s="1"/>
      <c r="K29" s="1"/>
      <c r="L29" s="1"/>
      <c r="M29" s="1"/>
      <c r="N29" s="1"/>
      <c r="O29" s="209"/>
    </row>
    <row r="30" spans="1:15" x14ac:dyDescent="0.25">
      <c r="A30" s="1"/>
      <c r="B30" s="1"/>
      <c r="C30" s="1"/>
      <c r="D30" s="1"/>
      <c r="E30" s="1"/>
      <c r="F30" s="1"/>
      <c r="G30" s="1"/>
      <c r="H30" s="1"/>
      <c r="I30" s="1"/>
      <c r="J30" s="1"/>
      <c r="K30" s="1"/>
      <c r="L30" s="1"/>
      <c r="M30" s="1"/>
      <c r="N30" s="1"/>
      <c r="O30" s="209"/>
    </row>
    <row r="31" spans="1:15" x14ac:dyDescent="0.25">
      <c r="A31" s="1"/>
      <c r="B31" s="1"/>
      <c r="C31" s="1"/>
      <c r="D31" s="1"/>
      <c r="E31" s="1"/>
      <c r="F31" s="1"/>
      <c r="G31" s="1"/>
      <c r="H31" s="1"/>
      <c r="I31" s="1"/>
      <c r="J31" s="1"/>
      <c r="K31" s="1"/>
      <c r="L31" s="1"/>
      <c r="M31" s="1"/>
      <c r="N31" s="1"/>
      <c r="O31" s="209"/>
    </row>
    <row r="32" spans="1:15" x14ac:dyDescent="0.25">
      <c r="A32" s="1"/>
      <c r="B32" s="1"/>
      <c r="C32" s="1"/>
      <c r="D32" s="1"/>
      <c r="E32" s="1"/>
      <c r="F32" s="1"/>
      <c r="G32" s="1"/>
      <c r="H32" s="1"/>
      <c r="I32" s="1"/>
      <c r="J32" s="1"/>
      <c r="K32" s="1"/>
      <c r="L32" s="1"/>
      <c r="M32" s="1"/>
      <c r="N32" s="1"/>
      <c r="O32" s="209"/>
    </row>
    <row r="33" spans="1:15" x14ac:dyDescent="0.25">
      <c r="A33" s="1"/>
      <c r="B33" s="1"/>
      <c r="C33" s="1"/>
      <c r="D33" s="1"/>
      <c r="E33" s="1"/>
      <c r="F33" s="1"/>
      <c r="G33" s="1"/>
      <c r="H33" s="1"/>
      <c r="I33" s="1"/>
      <c r="J33" s="1"/>
      <c r="K33" s="1"/>
      <c r="L33" s="1"/>
      <c r="M33" s="1"/>
      <c r="N33" s="1"/>
      <c r="O33" s="209"/>
    </row>
    <row r="34" spans="1:15" x14ac:dyDescent="0.25">
      <c r="A34" s="1"/>
      <c r="B34" s="1"/>
      <c r="C34" s="1"/>
      <c r="D34" s="1"/>
      <c r="E34" s="1"/>
      <c r="F34" s="1"/>
      <c r="G34" s="1"/>
      <c r="H34" s="1"/>
      <c r="I34" s="1"/>
      <c r="J34" s="1"/>
      <c r="K34" s="1"/>
      <c r="L34" s="1"/>
      <c r="M34" s="1"/>
      <c r="N34" s="1"/>
      <c r="O34" s="209"/>
    </row>
    <row r="35" spans="1:15" x14ac:dyDescent="0.25">
      <c r="A35" s="1"/>
      <c r="B35" s="1"/>
      <c r="C35" s="1"/>
      <c r="D35" s="1"/>
      <c r="E35" s="1"/>
      <c r="F35" s="1"/>
      <c r="G35" s="1"/>
      <c r="H35" s="1"/>
      <c r="I35" s="1"/>
      <c r="J35" s="1"/>
      <c r="K35" s="1"/>
      <c r="L35" s="1"/>
      <c r="M35" s="1"/>
      <c r="N35" s="1"/>
      <c r="O35" s="209"/>
    </row>
    <row r="36" spans="1:15" x14ac:dyDescent="0.25">
      <c r="A36" s="1"/>
      <c r="B36" s="1"/>
      <c r="C36" s="1"/>
      <c r="D36" s="1"/>
      <c r="E36" s="1"/>
      <c r="F36" s="1"/>
      <c r="G36" s="1"/>
      <c r="H36" s="1"/>
      <c r="I36" s="1"/>
      <c r="J36" s="1"/>
      <c r="K36" s="1"/>
      <c r="L36" s="1"/>
      <c r="M36" s="1"/>
      <c r="N36" s="1"/>
      <c r="O36" s="209"/>
    </row>
    <row r="37" spans="1:15" x14ac:dyDescent="0.25">
      <c r="A37" s="1"/>
      <c r="B37" s="1"/>
      <c r="C37" s="1"/>
      <c r="D37" s="1"/>
      <c r="E37" s="1"/>
      <c r="F37" s="1"/>
      <c r="G37" s="1"/>
      <c r="H37" s="1"/>
      <c r="I37" s="1"/>
      <c r="J37" s="1"/>
      <c r="K37" s="1"/>
      <c r="L37" s="1"/>
      <c r="M37" s="1"/>
      <c r="N37" s="1"/>
      <c r="O37" s="209"/>
    </row>
    <row r="38" spans="1:15" x14ac:dyDescent="0.25">
      <c r="A38" s="1"/>
      <c r="B38" s="1"/>
      <c r="C38" s="1"/>
      <c r="D38" s="1"/>
      <c r="E38" s="1"/>
      <c r="F38" s="1"/>
      <c r="G38" s="1"/>
      <c r="H38" s="1"/>
      <c r="I38" s="1"/>
      <c r="J38" s="1"/>
      <c r="K38" s="1"/>
      <c r="L38" s="1"/>
      <c r="M38" s="1"/>
      <c r="N38" s="1"/>
      <c r="O38" s="209"/>
    </row>
    <row r="39" spans="1:15" x14ac:dyDescent="0.25">
      <c r="A39" s="1"/>
      <c r="B39" s="1"/>
      <c r="C39" s="1"/>
      <c r="D39" s="1"/>
      <c r="E39" s="1"/>
      <c r="F39" s="1"/>
      <c r="G39" s="1"/>
      <c r="H39" s="1"/>
      <c r="I39" s="1"/>
      <c r="J39" s="1"/>
      <c r="K39" s="1"/>
      <c r="L39" s="1"/>
      <c r="M39" s="1"/>
      <c r="N39" s="1"/>
      <c r="O39" s="209"/>
    </row>
    <row r="40" spans="1:15" x14ac:dyDescent="0.25">
      <c r="A40" s="1"/>
      <c r="B40" s="1"/>
      <c r="C40" s="1"/>
      <c r="D40" s="1"/>
      <c r="E40" s="1"/>
      <c r="F40" s="1"/>
      <c r="G40" s="1"/>
      <c r="H40" s="1"/>
      <c r="I40" s="1"/>
      <c r="J40" s="1"/>
      <c r="K40" s="1"/>
      <c r="L40" s="1"/>
      <c r="M40" s="1"/>
      <c r="N40" s="1"/>
      <c r="O40" s="209"/>
    </row>
    <row r="41" spans="1:15" x14ac:dyDescent="0.25">
      <c r="A41" s="1"/>
      <c r="B41" s="1"/>
      <c r="C41" s="1"/>
      <c r="D41" s="1"/>
      <c r="E41" s="1"/>
      <c r="F41" s="1"/>
      <c r="G41" s="1"/>
      <c r="H41" s="1"/>
      <c r="I41" s="1"/>
      <c r="J41" s="1"/>
      <c r="K41" s="1"/>
      <c r="L41" s="1"/>
      <c r="M41" s="1"/>
      <c r="N41" s="1"/>
      <c r="O41" s="209"/>
    </row>
    <row r="42" spans="1:15" x14ac:dyDescent="0.25">
      <c r="A42" s="1"/>
      <c r="B42" s="1"/>
      <c r="C42" s="1"/>
      <c r="D42" s="1"/>
      <c r="E42" s="1"/>
      <c r="F42" s="1"/>
      <c r="G42" s="1"/>
      <c r="H42" s="1"/>
      <c r="I42" s="1"/>
      <c r="J42" s="1"/>
      <c r="K42" s="1"/>
      <c r="L42" s="1"/>
      <c r="M42" s="1"/>
      <c r="N42" s="1"/>
      <c r="O42" s="209"/>
    </row>
    <row r="43" spans="1:15" x14ac:dyDescent="0.25">
      <c r="A43" s="1"/>
      <c r="B43" s="1"/>
      <c r="C43" s="1"/>
      <c r="D43" s="1"/>
      <c r="E43" s="1"/>
      <c r="F43" s="1"/>
      <c r="G43" s="1"/>
      <c r="H43" s="1"/>
      <c r="I43" s="1"/>
      <c r="J43" s="1"/>
      <c r="K43" s="1"/>
      <c r="L43" s="1"/>
      <c r="M43" s="1"/>
      <c r="N43" s="1"/>
      <c r="O43" s="209"/>
    </row>
    <row r="44" spans="1:15" x14ac:dyDescent="0.25">
      <c r="A44" s="1"/>
      <c r="B44" s="1"/>
      <c r="C44" s="1"/>
      <c r="D44" s="1"/>
      <c r="E44" s="1"/>
      <c r="F44" s="1"/>
      <c r="G44" s="1"/>
      <c r="H44" s="1"/>
      <c r="I44" s="1"/>
      <c r="J44" s="1"/>
      <c r="K44" s="1"/>
      <c r="L44" s="1"/>
      <c r="M44" s="1"/>
      <c r="N44" s="1"/>
      <c r="O44" s="209"/>
    </row>
    <row r="45" spans="1:15" x14ac:dyDescent="0.25">
      <c r="A45" s="1"/>
      <c r="B45" s="1"/>
      <c r="C45" s="1"/>
      <c r="D45" s="1"/>
      <c r="E45" s="1"/>
      <c r="F45" s="1"/>
      <c r="G45" s="1"/>
      <c r="H45" s="1"/>
      <c r="I45" s="1"/>
      <c r="J45" s="1"/>
      <c r="K45" s="1"/>
      <c r="L45" s="1"/>
      <c r="M45" s="1"/>
      <c r="N45" s="1"/>
      <c r="O45" s="209"/>
    </row>
    <row r="46" spans="1:15" x14ac:dyDescent="0.25">
      <c r="A46" s="1"/>
      <c r="B46" s="1"/>
      <c r="C46" s="1"/>
      <c r="D46" s="1"/>
      <c r="E46" s="1"/>
      <c r="F46" s="1"/>
      <c r="G46" s="1"/>
      <c r="H46" s="1"/>
      <c r="I46" s="1"/>
      <c r="J46" s="1"/>
      <c r="K46" s="1"/>
      <c r="L46" s="1"/>
      <c r="M46" s="1"/>
      <c r="N46" s="1"/>
      <c r="O46" s="209"/>
    </row>
    <row r="47" spans="1:15" x14ac:dyDescent="0.25">
      <c r="A47" s="1"/>
      <c r="B47" s="1"/>
      <c r="C47" s="1"/>
      <c r="D47" s="1"/>
      <c r="E47" s="1"/>
      <c r="F47" s="1"/>
      <c r="G47" s="1"/>
      <c r="H47" s="209"/>
      <c r="I47" s="1"/>
      <c r="J47" s="1"/>
      <c r="K47" s="1"/>
      <c r="L47" s="1"/>
      <c r="M47" s="1"/>
      <c r="N47" s="1"/>
      <c r="O47" s="209"/>
    </row>
    <row r="48" spans="1:15" x14ac:dyDescent="0.25">
      <c r="A48" s="1"/>
      <c r="B48" s="1"/>
      <c r="C48" s="1"/>
      <c r="D48" s="1"/>
      <c r="E48" s="1"/>
      <c r="F48" s="1"/>
      <c r="G48" s="1"/>
      <c r="H48" s="1"/>
      <c r="I48" s="210" t="s">
        <v>66</v>
      </c>
      <c r="J48" s="1"/>
      <c r="K48" s="1"/>
      <c r="L48" s="1"/>
      <c r="M48" s="1"/>
      <c r="N48" s="1"/>
      <c r="O48" s="209"/>
    </row>
    <row r="49" spans="1:15" x14ac:dyDescent="0.25">
      <c r="A49" s="1"/>
      <c r="B49" s="1"/>
      <c r="C49" s="1"/>
      <c r="D49" s="1"/>
      <c r="E49" s="1"/>
      <c r="F49" s="1"/>
      <c r="G49" s="1"/>
      <c r="H49" s="211" t="s">
        <v>65</v>
      </c>
      <c r="I49" s="1"/>
      <c r="J49" s="1"/>
      <c r="K49" s="1"/>
      <c r="L49" s="1"/>
      <c r="M49" s="1"/>
      <c r="N49" s="1"/>
      <c r="O49" s="209"/>
    </row>
    <row r="50" spans="1:15" x14ac:dyDescent="0.25">
      <c r="A50" s="1"/>
      <c r="B50" s="1"/>
      <c r="C50" s="1"/>
      <c r="D50" s="1"/>
      <c r="E50" s="1"/>
      <c r="F50" s="1"/>
      <c r="G50" s="1"/>
      <c r="H50" s="1"/>
      <c r="I50" s="210" t="s">
        <v>67</v>
      </c>
      <c r="J50" s="1"/>
      <c r="K50" s="1"/>
      <c r="L50" s="1"/>
      <c r="M50" s="1"/>
      <c r="N50" s="1"/>
      <c r="O50" s="209"/>
    </row>
    <row r="51" spans="1:15" x14ac:dyDescent="0.25">
      <c r="A51" s="1"/>
      <c r="B51" s="1"/>
      <c r="C51" s="1"/>
      <c r="D51" s="1"/>
      <c r="E51" s="1"/>
      <c r="F51" s="1"/>
      <c r="G51" s="1"/>
      <c r="H51" s="1"/>
      <c r="I51" s="1"/>
      <c r="J51" s="1"/>
      <c r="K51" s="1"/>
      <c r="L51" s="1"/>
      <c r="M51" s="1"/>
      <c r="N51" s="1"/>
      <c r="O51" s="209"/>
    </row>
    <row r="52" spans="1:15" x14ac:dyDescent="0.25">
      <c r="A52" s="1"/>
      <c r="B52" s="1"/>
      <c r="C52" s="1"/>
      <c r="D52" s="1"/>
      <c r="E52" s="1"/>
      <c r="F52" s="1"/>
      <c r="G52" s="1"/>
      <c r="H52" s="1"/>
      <c r="I52" s="1"/>
      <c r="J52" s="1"/>
      <c r="K52" s="1"/>
      <c r="L52" s="1"/>
      <c r="M52" s="209"/>
      <c r="N52" s="1"/>
      <c r="O52" s="209"/>
    </row>
    <row r="53" spans="1:15" x14ac:dyDescent="0.25">
      <c r="A53" s="209"/>
      <c r="B53" s="209"/>
      <c r="C53" s="209"/>
      <c r="D53" s="209"/>
      <c r="E53" s="209"/>
      <c r="F53" s="209"/>
      <c r="G53" s="209"/>
      <c r="I53" s="209"/>
      <c r="J53" s="209"/>
      <c r="K53" s="209"/>
      <c r="L53" s="209"/>
      <c r="M53" s="209"/>
      <c r="N53" s="209"/>
      <c r="O53" s="209"/>
    </row>
    <row r="54" spans="1:15" x14ac:dyDescent="0.25">
      <c r="A54" s="209"/>
      <c r="B54" s="209"/>
      <c r="C54" s="209"/>
      <c r="D54" s="209"/>
      <c r="E54" s="209"/>
      <c r="F54" s="209"/>
      <c r="G54" s="209"/>
      <c r="H54" s="209"/>
      <c r="I54" s="209"/>
      <c r="J54" s="209"/>
      <c r="K54" s="209"/>
      <c r="L54" s="209"/>
      <c r="M54" s="209"/>
      <c r="N54" s="209"/>
      <c r="O54" s="209"/>
    </row>
    <row r="55" spans="1:15" x14ac:dyDescent="0.25">
      <c r="A55" s="209"/>
      <c r="B55" s="209"/>
      <c r="C55" s="209"/>
      <c r="D55" s="209"/>
      <c r="E55" s="209"/>
      <c r="F55" s="209"/>
      <c r="G55" s="209"/>
      <c r="H55" s="209"/>
      <c r="I55" s="209"/>
      <c r="J55" s="209"/>
      <c r="K55" s="209"/>
      <c r="L55" s="209"/>
      <c r="M55" s="209"/>
      <c r="N55" s="209"/>
      <c r="O55" s="209"/>
    </row>
    <row r="56" spans="1:15" x14ac:dyDescent="0.25">
      <c r="A56" s="209"/>
      <c r="B56" s="209"/>
      <c r="C56" s="209"/>
      <c r="D56" s="209"/>
      <c r="E56" s="209"/>
      <c r="F56" s="209"/>
      <c r="G56" s="209"/>
      <c r="H56" s="209"/>
      <c r="I56" s="209"/>
      <c r="J56" s="209"/>
      <c r="K56" s="209"/>
      <c r="L56" s="209"/>
      <c r="M56" s="209"/>
      <c r="N56" s="209"/>
      <c r="O56" s="209"/>
    </row>
    <row r="57" spans="1:15" x14ac:dyDescent="0.25">
      <c r="A57" s="209"/>
      <c r="B57" s="209"/>
      <c r="C57" s="209"/>
      <c r="D57" s="209"/>
      <c r="E57" s="209"/>
      <c r="F57" s="209"/>
      <c r="G57" s="209"/>
      <c r="H57" s="209"/>
      <c r="I57" s="209"/>
      <c r="J57" s="209"/>
      <c r="K57" s="209"/>
      <c r="L57" s="209"/>
      <c r="M57" s="209"/>
      <c r="N57" s="209"/>
      <c r="O57" s="209"/>
    </row>
    <row r="58" spans="1:15" x14ac:dyDescent="0.25">
      <c r="A58" s="209"/>
      <c r="B58" s="209"/>
      <c r="C58" s="209"/>
      <c r="D58" s="209"/>
      <c r="E58" s="209"/>
      <c r="F58" s="209"/>
      <c r="G58" s="209"/>
      <c r="H58" s="209"/>
      <c r="I58" s="209"/>
      <c r="J58" s="209"/>
      <c r="K58" s="209"/>
      <c r="L58" s="209"/>
      <c r="M58" s="209"/>
      <c r="N58" s="209"/>
      <c r="O58" s="209"/>
    </row>
    <row r="59" spans="1:15" x14ac:dyDescent="0.25">
      <c r="A59" s="209"/>
      <c r="B59" s="209"/>
      <c r="C59" s="209"/>
      <c r="D59" s="209"/>
      <c r="E59" s="209"/>
      <c r="F59" s="209"/>
      <c r="G59" s="209"/>
      <c r="H59" s="209"/>
      <c r="I59" s="209"/>
      <c r="J59" s="209"/>
      <c r="K59" s="209"/>
      <c r="L59" s="209"/>
      <c r="M59" s="209"/>
      <c r="N59" s="209"/>
      <c r="O59" s="209"/>
    </row>
    <row r="60" spans="1:15" x14ac:dyDescent="0.25">
      <c r="A60" s="209"/>
      <c r="B60" s="209"/>
      <c r="C60" s="209"/>
      <c r="D60" s="209"/>
      <c r="E60" s="209"/>
      <c r="F60" s="209"/>
      <c r="G60" s="209"/>
      <c r="H60" s="209"/>
      <c r="I60" s="209"/>
      <c r="J60" s="209"/>
      <c r="K60" s="209"/>
      <c r="L60" s="209"/>
      <c r="M60" s="209"/>
      <c r="N60" s="209"/>
      <c r="O60" s="209"/>
    </row>
    <row r="61" spans="1:15" x14ac:dyDescent="0.25">
      <c r="A61" s="209"/>
      <c r="B61" s="209"/>
      <c r="C61" s="209"/>
      <c r="D61" s="209"/>
      <c r="E61" s="209"/>
      <c r="F61" s="209"/>
      <c r="G61" s="209"/>
      <c r="H61" s="209"/>
      <c r="I61" s="209"/>
      <c r="J61" s="209"/>
      <c r="K61" s="209"/>
      <c r="L61" s="209"/>
      <c r="M61" s="209"/>
      <c r="N61" s="209"/>
      <c r="O61" s="209"/>
    </row>
    <row r="62" spans="1:15" x14ac:dyDescent="0.25">
      <c r="A62" s="209"/>
      <c r="B62" s="209"/>
      <c r="C62" s="209"/>
      <c r="D62" s="209"/>
      <c r="E62" s="209"/>
      <c r="F62" s="209"/>
      <c r="G62" s="209"/>
      <c r="H62" s="209"/>
      <c r="I62" s="209"/>
      <c r="J62" s="209"/>
      <c r="K62" s="209"/>
      <c r="L62" s="209"/>
      <c r="M62" s="209"/>
      <c r="N62" s="209"/>
      <c r="O62" s="209"/>
    </row>
    <row r="63" spans="1:15" x14ac:dyDescent="0.25">
      <c r="A63" s="209"/>
      <c r="B63" s="209"/>
      <c r="C63" s="209"/>
      <c r="D63" s="209"/>
      <c r="E63" s="209"/>
      <c r="F63" s="209"/>
      <c r="G63" s="209"/>
      <c r="H63" s="209"/>
      <c r="I63" s="209"/>
      <c r="J63" s="209"/>
      <c r="K63" s="209"/>
      <c r="L63" s="209"/>
      <c r="M63" s="209"/>
      <c r="N63" s="209"/>
      <c r="O63" s="209"/>
    </row>
  </sheetData>
  <sheetProtection algorithmName="SHA-512" hashValue="EYFrDClmdXrI5gekZcjK4VuY8j/tnBvX4k9v8yR4xj8yfrSu6YL3zqxnF9pwnYmWGDTssyrX1EHFDizXyyeDjw==" saltValue="5Vn38C8A1k5GnHGJWQRdeA==" spinCount="100000" sheet="1" objects="1" scenarios="1"/>
  <hyperlinks>
    <hyperlink ref="I48" r:id="rId1" xr:uid="{9A08DD48-D9FA-47E8-BF44-975C3878697F}"/>
    <hyperlink ref="I50" r:id="rId2" xr:uid="{AC51B6CC-0C32-4556-B4B2-EDABDB9B6153}"/>
  </hyperlinks>
  <pageMargins left="0.7" right="0.7" top="0.78740157499999996" bottom="0.78740157499999996" header="0.3" footer="0.3"/>
  <pageSetup paperSize="9" orientation="portrait" horizontalDpi="4294967293" verticalDpi="4294967293"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87"/>
  <sheetViews>
    <sheetView zoomScale="69" workbookViewId="0">
      <selection activeCell="M36" sqref="M36:N37"/>
    </sheetView>
  </sheetViews>
  <sheetFormatPr baseColWidth="10" defaultRowHeight="13.2" x14ac:dyDescent="0.25"/>
  <cols>
    <col min="1" max="1" width="11.5546875" style="2"/>
    <col min="2" max="2" width="14.88671875" style="2" customWidth="1"/>
    <col min="3" max="3" width="13.77734375" style="2" customWidth="1"/>
    <col min="4" max="4" width="13.109375" style="2" customWidth="1"/>
    <col min="5" max="5" width="18" style="2" customWidth="1"/>
    <col min="6" max="6" width="12.109375" style="2" customWidth="1"/>
    <col min="7" max="7" width="16.44140625" style="2" customWidth="1"/>
    <col min="8" max="8" width="16" style="2" customWidth="1"/>
    <col min="9" max="9" width="10" style="2" customWidth="1"/>
    <col min="10" max="10" width="31.44140625" style="2" customWidth="1"/>
    <col min="11" max="11" width="12.88671875" style="2" customWidth="1"/>
    <col min="12" max="12" width="59.88671875" style="2" customWidth="1"/>
    <col min="13" max="13" width="15.88671875" style="2" customWidth="1"/>
    <col min="14" max="14" width="14.109375" style="2" customWidth="1"/>
    <col min="15" max="15" width="15" style="2" customWidth="1"/>
    <col min="16" max="16" width="15.44140625" style="2" customWidth="1"/>
    <col min="17" max="17" width="15.88671875" style="2" customWidth="1"/>
    <col min="18" max="18" width="14.33203125" style="2" customWidth="1"/>
    <col min="19" max="16384" width="11.5546875" style="2"/>
  </cols>
  <sheetData>
    <row r="1" spans="1:19" ht="14.4" thickBot="1" x14ac:dyDescent="0.3">
      <c r="E1" s="3"/>
      <c r="O1" s="3"/>
    </row>
    <row r="2" spans="1:19" ht="14.4" thickTop="1" x14ac:dyDescent="0.25">
      <c r="A2" s="4" t="s">
        <v>52</v>
      </c>
      <c r="B2" s="5"/>
      <c r="C2" s="5"/>
      <c r="D2" s="6"/>
      <c r="E2" s="7" t="s">
        <v>63</v>
      </c>
      <c r="F2" s="8"/>
      <c r="G2" s="9">
        <f>(C13-C12)</f>
        <v>20</v>
      </c>
      <c r="H2" s="10">
        <f>(-C5*C6)*2.71828183^((-C6*(C12+0*G2))-C5*2.71828183^(-C6*(C12+0*G2)))</f>
        <v>9.4181250156901222E-3</v>
      </c>
      <c r="I2" s="10">
        <f>(C12+0*G2)</f>
        <v>60</v>
      </c>
      <c r="K2" s="4" t="s">
        <v>52</v>
      </c>
      <c r="L2" s="5"/>
      <c r="M2" s="5"/>
      <c r="N2" s="6"/>
      <c r="O2" s="7" t="s">
        <v>63</v>
      </c>
      <c r="P2" s="7"/>
      <c r="Q2" s="9">
        <f>(M19-M33)</f>
        <v>20</v>
      </c>
      <c r="R2" s="10">
        <f>(-M5*M6)*2.71828183^((-M6*(M33+0*Q2))-M5*2.71828183^(-M6*(M33+0*Q2)))</f>
        <v>9.4181250156901222E-3</v>
      </c>
      <c r="S2" s="10">
        <f>(M33+0*Q2)</f>
        <v>60</v>
      </c>
    </row>
    <row r="3" spans="1:19" ht="14.4" thickBot="1" x14ac:dyDescent="0.3">
      <c r="A3" s="11" t="s">
        <v>21</v>
      </c>
      <c r="B3" s="12"/>
      <c r="C3" s="12"/>
      <c r="D3" s="13"/>
      <c r="E3" s="14" t="s">
        <v>27</v>
      </c>
      <c r="F3" s="14"/>
      <c r="G3" s="15">
        <v>46.989199999999997</v>
      </c>
      <c r="H3" s="10">
        <f>(-C5*C6)*2.71828183^((-C6*(C12+0.1*G2))-C5*2.71828183^(-C6*(C12+0.1*G2)))</f>
        <v>1.0991550156631403E-2</v>
      </c>
      <c r="I3" s="10">
        <f>(C12+0.1*G2)</f>
        <v>62</v>
      </c>
      <c r="K3" s="11" t="s">
        <v>21</v>
      </c>
      <c r="L3" s="12"/>
      <c r="M3" s="12"/>
      <c r="N3" s="13"/>
      <c r="O3" s="14" t="s">
        <v>27</v>
      </c>
      <c r="P3" s="14"/>
      <c r="Q3" s="15">
        <f t="shared" ref="Q3:Q5" si="0">G3</f>
        <v>46.989199999999997</v>
      </c>
      <c r="R3" s="10">
        <f>(-M5*M6)*2.71828183^((-M6*(M33+0.1*Q2))-M5*2.71828183^(-M6*(M33+0.1*Q2)))</f>
        <v>1.0991550156631403E-2</v>
      </c>
      <c r="S3" s="10">
        <f>(M33+0.1*Q2)</f>
        <v>62</v>
      </c>
    </row>
    <row r="4" spans="1:19" ht="13.8" thickTop="1" x14ac:dyDescent="0.25">
      <c r="A4" s="16" t="s">
        <v>59</v>
      </c>
      <c r="B4" s="17"/>
      <c r="C4" s="18" t="s">
        <v>50</v>
      </c>
      <c r="D4" s="19" t="s">
        <v>51</v>
      </c>
      <c r="E4" s="15" t="s">
        <v>61</v>
      </c>
      <c r="F4" s="20" t="s">
        <v>29</v>
      </c>
      <c r="G4" s="15">
        <v>0.44810735000000002</v>
      </c>
      <c r="H4" s="10">
        <f>(-C5*C6)*2.71828183^((-C6*(C12+0.2*G2))-C5*2.71828183^(-C6*(C12+0.2*G2)))</f>
        <v>1.2770014652541834E-2</v>
      </c>
      <c r="I4" s="10">
        <f>(C12+0.2*G2)</f>
        <v>64</v>
      </c>
      <c r="K4" s="21" t="s">
        <v>60</v>
      </c>
      <c r="L4" s="17"/>
      <c r="M4" s="18" t="s">
        <v>50</v>
      </c>
      <c r="N4" s="19" t="s">
        <v>51</v>
      </c>
      <c r="O4" s="15" t="s">
        <v>61</v>
      </c>
      <c r="P4" s="20" t="s">
        <v>29</v>
      </c>
      <c r="Q4" s="15">
        <f t="shared" si="0"/>
        <v>0.44810735000000002</v>
      </c>
      <c r="R4" s="10">
        <f>(-M5*M6)*2.71828183^((-M6*(M33+0.2*Q2))-M5*2.71828183^(-M6*(M33+0.2*Q2)))</f>
        <v>1.2770014652541834E-2</v>
      </c>
      <c r="S4" s="10">
        <f>(M33+0.2*Q2)</f>
        <v>64</v>
      </c>
    </row>
    <row r="5" spans="1:19" x14ac:dyDescent="0.25">
      <c r="A5" s="22" t="s">
        <v>0</v>
      </c>
      <c r="B5" s="23"/>
      <c r="C5" s="24">
        <v>5.7762999999999998E-4</v>
      </c>
      <c r="D5" s="25">
        <v>1.7055999999999999E-4</v>
      </c>
      <c r="E5" s="15" t="s">
        <v>62</v>
      </c>
      <c r="F5" s="15" t="s">
        <v>28</v>
      </c>
      <c r="G5" s="15">
        <v>-2.1688209999999999E-2</v>
      </c>
      <c r="H5" s="10">
        <f>(-C5*C6)*2.71828183^((-C6*(C12+0.3*G2))-C5*2.71828183^(-C6*(C12+0.3*G2)))</f>
        <v>1.4756392582463796E-2</v>
      </c>
      <c r="I5" s="10">
        <f>(C12+0.3*G2)</f>
        <v>66</v>
      </c>
      <c r="K5" s="26" t="s">
        <v>0</v>
      </c>
      <c r="L5" s="23"/>
      <c r="M5" s="24">
        <f t="shared" ref="M5:N9" si="1">C5</f>
        <v>5.7762999999999998E-4</v>
      </c>
      <c r="N5" s="25">
        <f t="shared" si="1"/>
        <v>1.7055999999999999E-4</v>
      </c>
      <c r="O5" s="15" t="s">
        <v>62</v>
      </c>
      <c r="P5" s="15" t="s">
        <v>28</v>
      </c>
      <c r="Q5" s="15">
        <f t="shared" si="0"/>
        <v>-2.1688209999999999E-2</v>
      </c>
      <c r="R5" s="10">
        <f>(-M5*M6)*2.71828183^((-M6*(M33+0.3*Q2))-M5*2.71828183^(-M6*(M33+0.3*Q2)))</f>
        <v>1.4756392582463796E-2</v>
      </c>
      <c r="S5" s="10">
        <f>(M33+0.3*Q2)</f>
        <v>66</v>
      </c>
    </row>
    <row r="6" spans="1:19" x14ac:dyDescent="0.25">
      <c r="A6" s="22" t="s">
        <v>1</v>
      </c>
      <c r="B6" s="23"/>
      <c r="C6" s="24">
        <v>-8.8859792000000007E-2</v>
      </c>
      <c r="D6" s="25">
        <v>-9.6962709999999994E-2</v>
      </c>
      <c r="E6" s="27"/>
      <c r="F6" s="28"/>
      <c r="G6" s="28"/>
      <c r="H6" s="10">
        <f>(-C5*C6)*2.71828183^((-C6*(C12+0.4*G2))-C5*2.71828183^(-C6*(C12+0.4*G2)))</f>
        <v>1.6942189906120161E-2</v>
      </c>
      <c r="I6" s="10">
        <f>(C12+0.4*G2)</f>
        <v>68</v>
      </c>
      <c r="K6" s="26" t="s">
        <v>1</v>
      </c>
      <c r="L6" s="23"/>
      <c r="M6" s="24">
        <f t="shared" si="1"/>
        <v>-8.8859792000000007E-2</v>
      </c>
      <c r="N6" s="25">
        <f t="shared" si="1"/>
        <v>-9.6962709999999994E-2</v>
      </c>
      <c r="O6" s="27"/>
      <c r="P6" s="28"/>
      <c r="Q6" s="28"/>
      <c r="R6" s="10">
        <f>(-M5*M6)*2.71828183^((-M6*(M33+0.4*Q2))-M5*2.71828183^(-M6*(M33+0.4*Q2)))</f>
        <v>1.6942189906120161E-2</v>
      </c>
      <c r="S6" s="10">
        <f>(M33+0.4*Q2)</f>
        <v>68</v>
      </c>
    </row>
    <row r="7" spans="1:19" x14ac:dyDescent="0.25">
      <c r="A7" s="29" t="s">
        <v>19</v>
      </c>
      <c r="B7" s="30"/>
      <c r="C7" s="31">
        <v>83.91</v>
      </c>
      <c r="D7" s="32">
        <v>89.48</v>
      </c>
      <c r="F7" s="33"/>
      <c r="G7" s="33"/>
      <c r="H7" s="10">
        <f>(-C5*C6)*2.71828183^((-C6*(C12+0.5*G2))-C5*2.71828183^(-C6*(C12+0.5*G2)))</f>
        <v>1.9302562248490703E-2</v>
      </c>
      <c r="I7" s="10">
        <f>(C12+0.5*G2)</f>
        <v>70</v>
      </c>
      <c r="K7" s="34" t="s">
        <v>19</v>
      </c>
      <c r="L7" s="30"/>
      <c r="M7" s="31">
        <f t="shared" si="1"/>
        <v>83.91</v>
      </c>
      <c r="N7" s="32">
        <f t="shared" si="1"/>
        <v>89.48</v>
      </c>
      <c r="R7" s="10">
        <f>(-M5*M6)*2.71828183^((-M6*(M33+0.5*Q2))-M5*2.71828183^(-M6*(M33+0.5*Q2)))</f>
        <v>1.9302562248490703E-2</v>
      </c>
      <c r="S7" s="10">
        <f>(M33+0.5*Q2)</f>
        <v>70</v>
      </c>
    </row>
    <row r="8" spans="1:19" x14ac:dyDescent="0.25">
      <c r="A8" s="29" t="s">
        <v>53</v>
      </c>
      <c r="B8" s="23"/>
      <c r="C8" s="35">
        <v>0.99805390999999999</v>
      </c>
      <c r="D8" s="36">
        <v>0.99632315999999999</v>
      </c>
      <c r="H8" s="10">
        <f>(-C5*C6)*2.71828183^((-C6*(C12+0.6*G2))-C5*2.71828183^(-C6*(C12+0.6*G2)))</f>
        <v>2.1790444411799611E-2</v>
      </c>
      <c r="I8" s="10">
        <f>(C12+0.6*G2)</f>
        <v>72</v>
      </c>
      <c r="K8" s="34" t="s">
        <v>57</v>
      </c>
      <c r="L8" s="23"/>
      <c r="M8" s="35">
        <f t="shared" si="1"/>
        <v>0.99805390999999999</v>
      </c>
      <c r="N8" s="36">
        <f t="shared" si="1"/>
        <v>0.99632315999999999</v>
      </c>
      <c r="R8" s="10">
        <f>(-M5*M6)*2.71828183^((-M6*(M33+0.6*Q2))-M5*2.71828183^(-M6*(M33+0.6*Q2)))</f>
        <v>2.1790444411799611E-2</v>
      </c>
      <c r="S8" s="10">
        <f>(M33+0.6*Q2)</f>
        <v>72</v>
      </c>
    </row>
    <row r="9" spans="1:19" ht="13.8" thickBot="1" x14ac:dyDescent="0.3">
      <c r="A9" s="37" t="s">
        <v>20</v>
      </c>
      <c r="B9" s="38"/>
      <c r="C9" s="39">
        <v>81</v>
      </c>
      <c r="D9" s="40">
        <v>87.17</v>
      </c>
      <c r="E9" s="41"/>
      <c r="F9" s="42"/>
      <c r="G9" s="42"/>
      <c r="H9" s="10">
        <f>(-C5*C6)*2.71828183^((-C6*(C12+0.7*G2))-C5*2.71828183^(-C6*(C12+0.7*G2)))</f>
        <v>2.4330222059747747E-2</v>
      </c>
      <c r="I9" s="10">
        <f>(C12+0.7*G2)</f>
        <v>74</v>
      </c>
      <c r="K9" s="43" t="s">
        <v>20</v>
      </c>
      <c r="L9" s="38"/>
      <c r="M9" s="39">
        <f t="shared" si="1"/>
        <v>81</v>
      </c>
      <c r="N9" s="40">
        <f t="shared" si="1"/>
        <v>87.17</v>
      </c>
      <c r="O9" s="41"/>
      <c r="P9" s="42"/>
      <c r="Q9" s="42"/>
      <c r="R9" s="10">
        <f>(-M5*M6)*2.71828183^((-M6*(M33+0.7*Q2))-M5*2.71828183^(-M6*(M33+0.7*Q2)))</f>
        <v>2.4330222059747747E-2</v>
      </c>
      <c r="S9" s="10">
        <f>(M33+0.7*Q2)</f>
        <v>74</v>
      </c>
    </row>
    <row r="10" spans="1:19" ht="14.4" thickTop="1" thickBot="1" x14ac:dyDescent="0.3">
      <c r="A10" s="44"/>
      <c r="B10" s="45"/>
      <c r="C10" s="46"/>
      <c r="D10" s="47"/>
      <c r="E10" s="48" t="s">
        <v>24</v>
      </c>
      <c r="F10" s="49" t="s">
        <v>22</v>
      </c>
      <c r="G10" s="50" t="s">
        <v>23</v>
      </c>
      <c r="H10" s="10">
        <f>(-C5*C6)*2.71828183^((-C6*(C12+0.8*G2))-C5*2.71828183^(-C6*(C12+0.8*G2)))</f>
        <v>2.6811862037234516E-2</v>
      </c>
      <c r="I10" s="10">
        <f>(C12+0.8*G2)</f>
        <v>76</v>
      </c>
      <c r="K10" s="51" t="s">
        <v>18</v>
      </c>
      <c r="L10" s="45"/>
      <c r="M10" s="46"/>
      <c r="N10" s="47"/>
      <c r="O10" s="48" t="s">
        <v>24</v>
      </c>
      <c r="P10" s="49" t="s">
        <v>22</v>
      </c>
      <c r="Q10" s="50" t="s">
        <v>23</v>
      </c>
      <c r="R10" s="10">
        <f>(-M5*M6)*2.71828183^((-M6*(M33+0.8*Q2))-M5*2.71828183^(-M6*(M33+0.8*Q2)))</f>
        <v>2.6811862037234516E-2</v>
      </c>
      <c r="S10" s="10">
        <f>(M33+0.8*Q2)</f>
        <v>76</v>
      </c>
    </row>
    <row r="11" spans="1:19" ht="18.600000000000001" thickTop="1" thickBot="1" x14ac:dyDescent="0.35">
      <c r="A11" s="52" t="s">
        <v>11</v>
      </c>
      <c r="B11" s="53"/>
      <c r="C11" s="182">
        <v>0</v>
      </c>
      <c r="D11" s="54">
        <f>(C11)</f>
        <v>0</v>
      </c>
      <c r="E11" s="55" t="s">
        <v>25</v>
      </c>
      <c r="F11" s="56">
        <f>IF(C11=0,C9,ROUND(((((2.71828183^(LN(2.71828183*G3)-G4*2.71828183^(-G5*C11)))))),2))</f>
        <v>81</v>
      </c>
      <c r="G11" s="57">
        <f>IF(D11=0,D9,ROUND(((((2.71828183^(LN(2.71828183*G23)-G24*2.71828183^(-G25*D11)))))),2))</f>
        <v>87.17</v>
      </c>
      <c r="H11" s="10">
        <f>(-C5*C6)*2.71828183^((-C6*(C12+0.9*G2))-C5*2.71828183^(-C6*(C12+0.9*G2)))</f>
        <v>2.9087097146140928E-2</v>
      </c>
      <c r="I11" s="10">
        <f>(C12+0.9*G2)</f>
        <v>78</v>
      </c>
      <c r="K11" s="58" t="s">
        <v>42</v>
      </c>
      <c r="L11" s="53"/>
      <c r="M11" s="182">
        <v>0</v>
      </c>
      <c r="N11" s="183">
        <v>0</v>
      </c>
      <c r="O11" s="55" t="s">
        <v>25</v>
      </c>
      <c r="P11" s="56">
        <f>IF(M11=0,M9,ROUND(((((2.71828183^(LN(2.71828183*Q3)-Q4*2.71828183^(-Q5*M11)))))),2))</f>
        <v>81</v>
      </c>
      <c r="Q11" s="57">
        <f>IF(N11=0,N9,ROUND(((((2.71828183^(LN(2.71828183*Q23)-Q24*2.71828183^(-Q25*N11)))))),2))</f>
        <v>87.17</v>
      </c>
      <c r="R11" s="10">
        <f>(-M5*M6)*2.71828183^((-M6*(M33+0.9*Q2))-M5*2.71828183^(-M6*(M33+0.9*Q2)))</f>
        <v>2.9087097146140928E-2</v>
      </c>
      <c r="S11" s="10">
        <f>(M33+0.9*Q2)</f>
        <v>78</v>
      </c>
    </row>
    <row r="12" spans="1:19" ht="18" thickTop="1" x14ac:dyDescent="0.3">
      <c r="A12" s="59" t="s">
        <v>10</v>
      </c>
      <c r="B12" s="60"/>
      <c r="C12" s="184">
        <v>60</v>
      </c>
      <c r="D12" s="54">
        <f>(C12)</f>
        <v>60</v>
      </c>
      <c r="E12" s="61" t="s">
        <v>30</v>
      </c>
      <c r="F12" s="62">
        <f>ROUND(((H2*I2)+(H3*I3)+(H4*I4)+(H5*I5)+(H6*I6)+(H7*I7)+(H8*I8)+(H9*I9)+(H10*I10)+(H11*I11)+(H12*I12))/SUM(H2:H12)-C12,2)</f>
        <v>12.27</v>
      </c>
      <c r="G12" s="63">
        <f>ROUND(((H22*I22)+(H23*I23)+(H24*I24)+(H25*I25)+(H26*I26)+(H27*I27)+(H28*I28)+(H29*I29)+(H30*I30)+(H31*I31)+(H32*I32))/SUM(H22:H32)-D12,2)</f>
        <v>13</v>
      </c>
      <c r="H12" s="64">
        <f>(-C5*C6)*2.71828183^((-C6*(C12+1*G2))-C5*2.71828183^(-C6*(C12+1*G2)))</f>
        <v>3.0970077800758812E-2</v>
      </c>
      <c r="I12" s="10">
        <f>(C12+1*G2)</f>
        <v>80</v>
      </c>
      <c r="K12" s="65" t="s">
        <v>43</v>
      </c>
      <c r="L12" s="60"/>
      <c r="M12" s="184">
        <v>77.86</v>
      </c>
      <c r="N12" s="185">
        <v>83.1</v>
      </c>
      <c r="O12" s="66"/>
      <c r="P12" s="67"/>
      <c r="Q12" s="67"/>
      <c r="R12" s="10">
        <f>(-M5*M6)*2.71828183^((-M6*(M33+1*Q2))-M5*2.71828183^(-M6*(M33+1*Q2)))</f>
        <v>3.0970077800758812E-2</v>
      </c>
      <c r="S12" s="10">
        <f>(M33+1*Q2)</f>
        <v>80</v>
      </c>
    </row>
    <row r="13" spans="1:19" ht="17.399999999999999" x14ac:dyDescent="0.3">
      <c r="A13" s="68" t="s">
        <v>9</v>
      </c>
      <c r="B13" s="69"/>
      <c r="C13" s="186">
        <v>80</v>
      </c>
      <c r="D13" s="54">
        <f>(C13)</f>
        <v>80</v>
      </c>
      <c r="E13" s="70" t="s">
        <v>25</v>
      </c>
      <c r="F13" s="71">
        <f>ROUND(((((2.71828183^(LN(2.71828183*G3)-G4*2.71828183^(-G5*C13)))))),2)</f>
        <v>10.07</v>
      </c>
      <c r="G13" s="72">
        <f>ROUND(((((2.71828183^(LN(2.71828183*G23)-G24*2.71828183^(-G25*D13)))))),2)</f>
        <v>12.76</v>
      </c>
      <c r="H13" s="73"/>
      <c r="I13" s="73"/>
      <c r="K13" s="74" t="s">
        <v>44</v>
      </c>
      <c r="L13" s="69"/>
      <c r="M13" s="186">
        <v>49.38</v>
      </c>
      <c r="N13" s="187">
        <v>67.13</v>
      </c>
      <c r="O13" s="75"/>
      <c r="P13" s="76"/>
      <c r="Q13" s="76"/>
      <c r="R13" s="73"/>
      <c r="S13" s="73"/>
    </row>
    <row r="14" spans="1:19" ht="18" thickBot="1" x14ac:dyDescent="0.35">
      <c r="A14" s="77" t="s">
        <v>8</v>
      </c>
      <c r="B14" s="78"/>
      <c r="C14" s="188">
        <v>90</v>
      </c>
      <c r="D14" s="79">
        <f>(C14)</f>
        <v>90</v>
      </c>
      <c r="E14" s="55" t="s">
        <v>25</v>
      </c>
      <c r="F14" s="80">
        <f>ROUND(((((2.71828183^(LN(2.71828183*G3)-G4*2.71828183^(-G5*C14)))))),2)</f>
        <v>5.44</v>
      </c>
      <c r="G14" s="81">
        <f>ROUND(((((2.71828183^(LN(2.71828183*G23)-G24*2.71828183^(-G25*D14)))))),2)</f>
        <v>6.96</v>
      </c>
      <c r="H14" s="73"/>
      <c r="I14" s="73"/>
      <c r="K14" s="82" t="s">
        <v>45</v>
      </c>
      <c r="L14" s="78"/>
      <c r="M14" s="188">
        <v>36.380000000000003</v>
      </c>
      <c r="N14" s="189">
        <v>52.06</v>
      </c>
      <c r="O14" s="75"/>
      <c r="P14" s="83"/>
      <c r="Q14" s="83"/>
      <c r="R14" s="73"/>
      <c r="S14" s="73"/>
    </row>
    <row r="15" spans="1:19" ht="14.4" thickTop="1" thickBot="1" x14ac:dyDescent="0.3">
      <c r="A15" s="84" t="s">
        <v>13</v>
      </c>
      <c r="B15" s="85"/>
      <c r="C15" s="85"/>
      <c r="D15" s="86"/>
      <c r="E15" s="66"/>
      <c r="F15" s="87"/>
      <c r="G15" s="88"/>
      <c r="H15" s="73"/>
      <c r="I15" s="73"/>
      <c r="K15" s="89" t="s">
        <v>13</v>
      </c>
      <c r="L15" s="85"/>
      <c r="M15" s="85"/>
      <c r="N15" s="86"/>
      <c r="O15" s="75"/>
      <c r="P15" s="90"/>
      <c r="Q15" s="91"/>
      <c r="R15" s="73"/>
      <c r="S15" s="73"/>
    </row>
    <row r="16" spans="1:19" ht="13.8" thickTop="1" x14ac:dyDescent="0.25">
      <c r="A16" s="92" t="s">
        <v>6</v>
      </c>
      <c r="B16" s="93"/>
      <c r="C16" s="94"/>
      <c r="D16" s="95"/>
      <c r="E16" s="70"/>
      <c r="F16" s="70"/>
      <c r="G16" s="70"/>
      <c r="H16" s="73"/>
      <c r="I16" s="73"/>
      <c r="K16" s="96" t="s">
        <v>6</v>
      </c>
      <c r="L16" s="93"/>
      <c r="M16" s="94"/>
      <c r="N16" s="95"/>
      <c r="O16" s="70"/>
      <c r="P16" s="70"/>
      <c r="Q16" s="70"/>
      <c r="R16" s="73"/>
      <c r="S16" s="73"/>
    </row>
    <row r="17" spans="1:21" ht="13.8" thickBot="1" x14ac:dyDescent="0.3">
      <c r="A17" s="97" t="s">
        <v>7</v>
      </c>
      <c r="B17" s="97"/>
      <c r="C17" s="98"/>
      <c r="D17" s="99"/>
      <c r="H17" s="73"/>
      <c r="I17" s="73"/>
      <c r="K17" s="100"/>
      <c r="L17" s="97"/>
      <c r="M17" s="98"/>
      <c r="N17" s="99"/>
      <c r="O17" s="70"/>
      <c r="P17" s="70"/>
      <c r="Q17" s="70"/>
      <c r="R17" s="73"/>
      <c r="S17" s="73"/>
    </row>
    <row r="18" spans="1:21" ht="14.4" thickTop="1" thickBot="1" x14ac:dyDescent="0.3">
      <c r="A18" s="97" t="s">
        <v>3</v>
      </c>
      <c r="B18" s="97"/>
      <c r="C18" s="101">
        <f>((2.71828183^(-C5*(2.71828183^(-C6*C13)-2.71828183^(-C6*C11))))*100)</f>
        <v>49.377913743440715</v>
      </c>
      <c r="D18" s="102">
        <f>((2.71828183^(-D5*(2.71828183^(-D6*C13)-2.71828183^(-D6*C11))))*100)</f>
        <v>67.126920171105994</v>
      </c>
      <c r="H18" s="73"/>
      <c r="I18" s="73"/>
      <c r="K18" s="100"/>
      <c r="L18" s="97"/>
      <c r="M18" s="101">
        <f>((2.71828183^(-M5*(2.71828183^(-M6*M13)-2.71828183^(-M6*M11))))*100)</f>
        <v>95.513286935025363</v>
      </c>
      <c r="N18" s="102">
        <f>((2.71828183^(-N5*(2.71828183^(-N6*M13)-2.71828183^(-N6*M11))))*100)</f>
        <v>97.989738047076301</v>
      </c>
      <c r="O18" s="103" t="s">
        <v>24</v>
      </c>
      <c r="P18" s="104" t="s">
        <v>22</v>
      </c>
      <c r="Q18" s="105" t="s">
        <v>23</v>
      </c>
      <c r="R18" s="73"/>
      <c r="S18" s="73"/>
      <c r="U18" s="28"/>
    </row>
    <row r="19" spans="1:21" ht="18.600000000000001" thickTop="1" thickBot="1" x14ac:dyDescent="0.35">
      <c r="A19" s="97" t="s">
        <v>34</v>
      </c>
      <c r="B19" s="97"/>
      <c r="C19" s="106">
        <f>ROUND(C18,2)</f>
        <v>49.38</v>
      </c>
      <c r="D19" s="72">
        <f>ROUND(D18,2)</f>
        <v>67.13</v>
      </c>
      <c r="H19" s="73"/>
      <c r="I19" s="73"/>
      <c r="K19" s="100" t="s">
        <v>46</v>
      </c>
      <c r="L19" s="97"/>
      <c r="M19" s="106">
        <f>ROUND(((LN(((LN(M13*0.01))/-M5)+2.71828183^(-M6*M11)))/-M6),2)</f>
        <v>80</v>
      </c>
      <c r="N19" s="72">
        <f>ROUND(((LN(((LN(N13*0.01))/-N5)+2.71828183^(-N6*N11)))/-N6),2)</f>
        <v>80</v>
      </c>
      <c r="O19" s="107" t="s">
        <v>25</v>
      </c>
      <c r="P19" s="71">
        <f>IF(M19=0,M9,ROUND(((((2.71828183^(LN(2.71828183*Q3)-Q4*2.71828183^(-Q5*M19)))))),2))</f>
        <v>10.07</v>
      </c>
      <c r="Q19" s="108">
        <f>IF(N19=0,N9,ROUND(((((2.71828183^(LN(2.71828183*Q23)-Q24*2.71828183^(-Q25*N19)))))),2))</f>
        <v>12.76</v>
      </c>
      <c r="R19" s="73"/>
      <c r="S19" s="73"/>
      <c r="U19" s="28"/>
    </row>
    <row r="20" spans="1:21" ht="13.8" thickTop="1" x14ac:dyDescent="0.25">
      <c r="A20" s="8"/>
      <c r="B20" s="8"/>
      <c r="C20" s="35"/>
      <c r="D20" s="36"/>
      <c r="H20" s="73"/>
      <c r="I20" s="73"/>
      <c r="K20" s="26"/>
      <c r="L20" s="8"/>
      <c r="M20" s="35"/>
      <c r="N20" s="36"/>
      <c r="O20" s="70"/>
      <c r="P20" s="109"/>
      <c r="Q20" s="109"/>
      <c r="R20" s="73"/>
      <c r="S20" s="73"/>
      <c r="U20" s="28"/>
    </row>
    <row r="21" spans="1:21" x14ac:dyDescent="0.25">
      <c r="A21" s="110" t="s">
        <v>4</v>
      </c>
      <c r="B21" s="110"/>
      <c r="C21" s="111"/>
      <c r="D21" s="36"/>
      <c r="H21" s="73"/>
      <c r="I21" s="73"/>
      <c r="K21" s="112"/>
      <c r="L21" s="110"/>
      <c r="M21" s="111"/>
      <c r="N21" s="36"/>
      <c r="O21" s="70"/>
      <c r="P21" s="70"/>
      <c r="Q21" s="27"/>
      <c r="R21" s="73"/>
      <c r="S21" s="73"/>
    </row>
    <row r="22" spans="1:21" x14ac:dyDescent="0.25">
      <c r="A22" s="110" t="s">
        <v>5</v>
      </c>
      <c r="B22" s="110"/>
      <c r="C22" s="113">
        <f>((2.71828183^(-C5*(2.71828183^(-C6*(C11+1))-2.71828183^(-C6*(C11-0)))))*100)</f>
        <v>99.994632378163359</v>
      </c>
      <c r="D22" s="102">
        <f>((2.71828183^(-D5*(2.71828183^(-D6*(C11+1))-2.71828183^(-D6*(C11-0)))))*100)</f>
        <v>99.998263385335065</v>
      </c>
      <c r="E22" s="7" t="s">
        <v>64</v>
      </c>
      <c r="F22" s="8"/>
      <c r="G22" s="9">
        <f>(D13-D12)</f>
        <v>20</v>
      </c>
      <c r="H22" s="10">
        <f>(-D5*D6)*2.71828183^((-D6*(D12+0*G22))-D5*2.71828183^(-D6*(D12+0*G22)))</f>
        <v>5.2504834217483318E-3</v>
      </c>
      <c r="I22" s="10">
        <f>(D12+0*G22)</f>
        <v>60</v>
      </c>
      <c r="K22" s="112"/>
      <c r="L22" s="110"/>
      <c r="M22" s="113">
        <f>((2.71828183^(-M5*(2.71828183^(-M6*(M11+1))-2.71828183^(-M6*(M11-0)))))*100)</f>
        <v>99.994632378163359</v>
      </c>
      <c r="N22" s="102">
        <f>((2.71828183^(-N5*(2.71828183^(-N6*(M11+1))-2.71828183^(-N6*(M11-0)))))*100)</f>
        <v>99.998263385335065</v>
      </c>
      <c r="O22" s="7" t="s">
        <v>64</v>
      </c>
      <c r="P22" s="8"/>
      <c r="Q22" s="9">
        <f>(N19-N33)</f>
        <v>20</v>
      </c>
      <c r="R22" s="10">
        <f>(-N5*N6)*2.71828183^((-N6*(N33+0*Q22))-N5*2.71828183^(-N6*(N33+0*Q22)))</f>
        <v>5.2504834217483318E-3</v>
      </c>
      <c r="S22" s="10">
        <f>(N33+0*Q22)</f>
        <v>60</v>
      </c>
    </row>
    <row r="23" spans="1:21" ht="17.399999999999999" x14ac:dyDescent="0.3">
      <c r="A23" s="110" t="s">
        <v>35</v>
      </c>
      <c r="B23" s="110"/>
      <c r="C23" s="114">
        <f>ROUND(C22,3)</f>
        <v>99.995000000000005</v>
      </c>
      <c r="D23" s="115">
        <f>ROUND(D22,3)</f>
        <v>99.998000000000005</v>
      </c>
      <c r="E23" s="14" t="s">
        <v>33</v>
      </c>
      <c r="F23" s="14"/>
      <c r="G23" s="15">
        <v>44.358899999999998</v>
      </c>
      <c r="H23" s="10">
        <f>(-D5*D6)*2.71828183^((-D6*(D12+0.1*G22))-D5*2.71828183^(-D6*(D12+0.1*G22)))</f>
        <v>6.2963701808091063E-3</v>
      </c>
      <c r="I23" s="10">
        <f>(D12+0.1*G22)</f>
        <v>62</v>
      </c>
      <c r="K23" s="112" t="s">
        <v>47</v>
      </c>
      <c r="L23" s="110"/>
      <c r="M23" s="114">
        <f>ROUND(M22,3)</f>
        <v>99.995000000000005</v>
      </c>
      <c r="N23" s="115">
        <f>ROUND(N22,3)</f>
        <v>99.998000000000005</v>
      </c>
      <c r="O23" s="14" t="s">
        <v>27</v>
      </c>
      <c r="P23" s="14"/>
      <c r="Q23" s="15">
        <f t="shared" ref="Q23:Q25" si="2">G23</f>
        <v>44.358899999999998</v>
      </c>
      <c r="R23" s="10">
        <f>(-N5*N6)*2.71828183^((-N6*(N33+0.1*Q22))-N5*2.71828183^(-N6*(N33+0.1*Q22)))</f>
        <v>6.2963701808091063E-3</v>
      </c>
      <c r="S23" s="10">
        <f>(N33+0.1*Q22)</f>
        <v>62</v>
      </c>
    </row>
    <row r="24" spans="1:21" x14ac:dyDescent="0.25">
      <c r="A24" s="116" t="s">
        <v>36</v>
      </c>
      <c r="B24" s="117"/>
      <c r="C24" s="35"/>
      <c r="D24" s="36"/>
      <c r="E24" s="15" t="s">
        <v>61</v>
      </c>
      <c r="F24" s="20" t="s">
        <v>29</v>
      </c>
      <c r="G24" s="15">
        <v>0.33131713000000002</v>
      </c>
      <c r="H24" s="10">
        <f>(-D5*D6)*2.71828183^((-D6*(D12+0.2*G22))-D5*2.71828183^(-D6*(D12+0.2*G22)))</f>
        <v>7.5307913016785695E-3</v>
      </c>
      <c r="I24" s="10">
        <f>(D12+0.2*G22)</f>
        <v>64</v>
      </c>
      <c r="K24" s="116" t="s">
        <v>36</v>
      </c>
      <c r="L24" s="117"/>
      <c r="M24" s="35"/>
      <c r="N24" s="36"/>
      <c r="O24" s="15" t="s">
        <v>61</v>
      </c>
      <c r="P24" s="20" t="s">
        <v>29</v>
      </c>
      <c r="Q24" s="15">
        <f t="shared" si="2"/>
        <v>0.33131713000000002</v>
      </c>
      <c r="R24" s="10">
        <f>(-N5*N6)*2.71828183^((-N6*(N33+0.2*Q22))-N5*2.71828183^(-N6*(N33+0.2*Q22)))</f>
        <v>7.5307913016785695E-3</v>
      </c>
      <c r="S24" s="10">
        <f>(N33+0.2*Q22)</f>
        <v>64</v>
      </c>
    </row>
    <row r="25" spans="1:21" x14ac:dyDescent="0.25">
      <c r="A25" s="26"/>
      <c r="B25" s="8"/>
      <c r="C25" s="113">
        <f>(2.71828183^(-C5*((2.71828183^(-C6*C14))-(2.71828183^(-C6*C13)))))</f>
        <v>0.36380293765794258</v>
      </c>
      <c r="D25" s="102">
        <f>(2.71828183^(-D5*((2.71828183^(-D6*C14))-(2.71828183^(-D6*C13)))))</f>
        <v>0.52061351440038206</v>
      </c>
      <c r="E25" s="15" t="s">
        <v>62</v>
      </c>
      <c r="F25" s="15" t="s">
        <v>28</v>
      </c>
      <c r="G25" s="15">
        <v>-2.3921789999999998E-2</v>
      </c>
      <c r="H25" s="10">
        <f>(-D5*D6)*2.71828183^((-D6*(D12+0.3*G22))-D5*2.71828183^(-D6*(D12+0.3*G22)))</f>
        <v>8.9785513848037457E-3</v>
      </c>
      <c r="I25" s="10">
        <f>(D12+0.3*G22)</f>
        <v>66</v>
      </c>
      <c r="K25" s="26"/>
      <c r="L25" s="8"/>
      <c r="M25" s="113">
        <f>(2.71828183^(-M5*((2.71828183^(-M6*M14))-(2.71828183^(-M6*M13)))))</f>
        <v>1.0323527272358166</v>
      </c>
      <c r="N25" s="102">
        <f>(2.71828183^(-N5*((2.71828183^(-N6*M14))-(2.71828183^(-N6*M13)))))</f>
        <v>1.0147804820708701</v>
      </c>
      <c r="O25" s="15" t="s">
        <v>62</v>
      </c>
      <c r="P25" s="15" t="s">
        <v>28</v>
      </c>
      <c r="Q25" s="15">
        <f t="shared" si="2"/>
        <v>-2.3921789999999998E-2</v>
      </c>
      <c r="R25" s="10">
        <f>(-N5*N6)*2.71828183^((-N6*(N33+0.3*Q22))-N5*2.71828183^(-N6*(N33+0.3*Q22)))</f>
        <v>8.9785513848037457E-3</v>
      </c>
      <c r="S25" s="10">
        <f>(N33+0.3*Q22)</f>
        <v>66</v>
      </c>
    </row>
    <row r="26" spans="1:21" x14ac:dyDescent="0.25">
      <c r="A26" s="118" t="s">
        <v>7</v>
      </c>
      <c r="B26" s="8"/>
      <c r="C26" s="113">
        <f>(2.71828183^(-C5*(2.71828183^(-C6*C12)-1)))</f>
        <v>0.88793512931303664</v>
      </c>
      <c r="D26" s="102">
        <f>(2.71828183^(-D5*(2.71828183^(-D6*C12)-1)))</f>
        <v>0.94442883160903102</v>
      </c>
      <c r="E26" s="27"/>
      <c r="F26" s="28"/>
      <c r="G26" s="28"/>
      <c r="H26" s="10">
        <f>(-D5*D6)*2.71828183^((-D6*(D12+0.4*G22))-D5*2.71828183^(-D6*(D12+0.4*G22)))</f>
        <v>1.0663282144112499E-2</v>
      </c>
      <c r="I26" s="10">
        <f>(D12+0.4*G22)</f>
        <v>68</v>
      </c>
      <c r="K26" s="119"/>
      <c r="L26" s="8"/>
      <c r="M26" s="113">
        <f>(2.71828183^(-M5*(2.71828183^(-M6*M12)-1)))</f>
        <v>0.55801782874074135</v>
      </c>
      <c r="N26" s="102">
        <f>(2.71828183^(-N5*(2.71828183^(-N6*M12)-1)))</f>
        <v>0.72334901175100252</v>
      </c>
      <c r="O26" s="27"/>
      <c r="P26" s="28"/>
      <c r="Q26" s="28"/>
      <c r="R26" s="10">
        <f>(-N5*N6)*2.71828183^((-N6*(N33+0.4*Q22))-N5*2.71828183^(-N6*(N33+0.4*Q22)))</f>
        <v>1.0663282144112499E-2</v>
      </c>
      <c r="S26" s="10">
        <f>(N33+0.4*Q22)</f>
        <v>68</v>
      </c>
    </row>
    <row r="27" spans="1:21" ht="13.8" thickBot="1" x14ac:dyDescent="0.3">
      <c r="A27" s="118" t="s">
        <v>37</v>
      </c>
      <c r="B27" s="120"/>
      <c r="C27" s="113">
        <f>(2.71828183^(-C5*(2.71828183^(-C6*C13)-1)))</f>
        <v>0.49377913743440716</v>
      </c>
      <c r="D27" s="102">
        <f>(2.71828183^(-D5*(2.71828183^(-D6*C13)-1)))</f>
        <v>0.67126920171105997</v>
      </c>
      <c r="E27" s="27"/>
      <c r="F27" s="28"/>
      <c r="G27" s="28"/>
      <c r="H27" s="10">
        <f>(-D5*D6)*2.71828183^((-D6*(D12+0.5*G22))-D5*2.71828183^(-D6*(D12+0.5*G22)))</f>
        <v>1.2604764788407014E-2</v>
      </c>
      <c r="I27" s="10">
        <f>(D12+0.5*G22)</f>
        <v>70</v>
      </c>
      <c r="K27" s="119"/>
      <c r="L27" s="120"/>
      <c r="M27" s="113">
        <f>(2.71828183^(-M5*(2.71828183^(-M6*M13)-1)))</f>
        <v>0.95513286935025365</v>
      </c>
      <c r="N27" s="102">
        <f>(2.71828183^(-N5*(2.71828183^(-N6*M13)-1)))</f>
        <v>0.97989738047076302</v>
      </c>
      <c r="O27" s="70"/>
      <c r="P27" s="70"/>
      <c r="Q27" s="27"/>
      <c r="R27" s="10">
        <f>(-N5*N6)*2.71828183^((-N6*(N33+0.5*Q22))-N5*2.71828183^(-N6*(N33+0.5*Q22)))</f>
        <v>1.2604764788407014E-2</v>
      </c>
      <c r="S27" s="10">
        <f>(N33+0.5*Q22)</f>
        <v>70</v>
      </c>
    </row>
    <row r="28" spans="1:21" ht="14.4" thickTop="1" thickBot="1" x14ac:dyDescent="0.3">
      <c r="A28" s="118" t="s">
        <v>38</v>
      </c>
      <c r="B28" s="120"/>
      <c r="C28" s="113">
        <f>(2.71828183^(-C5*(2.71828183^(-C6*C11)-1)))</f>
        <v>1</v>
      </c>
      <c r="D28" s="102">
        <f>(2.71828183^(-D5*(2.71828183^(-D6*C11)-1)))</f>
        <v>1</v>
      </c>
      <c r="E28" s="70"/>
      <c r="F28" s="70"/>
      <c r="G28" s="27"/>
      <c r="H28" s="10">
        <f>(-D5*D6)*2.71828183^((-D6*(D12+0.6*G22))-D5*2.71828183^(-D6*(D12+0.6*G22)))</f>
        <v>1.4814979997600838E-2</v>
      </c>
      <c r="I28" s="10">
        <f>(D12+0.6*G22)</f>
        <v>72</v>
      </c>
      <c r="K28" s="119"/>
      <c r="L28" s="120"/>
      <c r="M28" s="113">
        <f>(2.71828183^(-M5*(2.71828183^(-M6*M11)-1)))</f>
        <v>1</v>
      </c>
      <c r="N28" s="102">
        <f>(2.71828183^(-N5*(2.71828183^(-N6*M11)-1)))</f>
        <v>1</v>
      </c>
      <c r="O28" s="103" t="s">
        <v>24</v>
      </c>
      <c r="P28" s="104" t="s">
        <v>22</v>
      </c>
      <c r="Q28" s="105" t="s">
        <v>23</v>
      </c>
      <c r="R28" s="10">
        <f>(-N5*N6)*2.71828183^((-N6*(N33+0.6*Q22))-N5*2.71828183^(-N6*(N33+0.6*Q22)))</f>
        <v>1.4814979997600838E-2</v>
      </c>
      <c r="S28" s="10">
        <f>(N33+0.6*Q22)</f>
        <v>72</v>
      </c>
    </row>
    <row r="29" spans="1:21" ht="18.600000000000001" thickTop="1" thickBot="1" x14ac:dyDescent="0.35">
      <c r="A29" s="118" t="s">
        <v>39</v>
      </c>
      <c r="B29" s="120"/>
      <c r="C29" s="121">
        <f>ROUND((C25*100),2)</f>
        <v>36.380000000000003</v>
      </c>
      <c r="D29" s="122">
        <f>ROUND((D25*100),2)</f>
        <v>52.06</v>
      </c>
      <c r="E29" s="70"/>
      <c r="F29" s="70"/>
      <c r="G29" s="27"/>
      <c r="H29" s="10">
        <f>(-D5*D6)*2.71828183^((-D6*(D12+0.7*G22))-D5*2.71828183^(-D6*(D12+0.7*G22)))</f>
        <v>1.7292574971772754E-2</v>
      </c>
      <c r="I29" s="10">
        <f>(D12+0.7*G22)</f>
        <v>74</v>
      </c>
      <c r="K29" s="119" t="s">
        <v>48</v>
      </c>
      <c r="L29" s="120"/>
      <c r="M29" s="121">
        <f>ROUND(((LN((LN(0.01*M14)/-M5)+2.71828183^(-M6*M19))/-M6)),2)</f>
        <v>90</v>
      </c>
      <c r="N29" s="122">
        <f>ROUND(((LN((LN(0.01*N14)/-N5)+2.71828183^(-N6*N19))/-N6)),2)</f>
        <v>90</v>
      </c>
      <c r="O29" s="107" t="s">
        <v>25</v>
      </c>
      <c r="P29" s="80">
        <f>IF(M29=0,M9,ROUND(((((2.71828183^(LN(2.71828183*Q3)-Q4*2.71828183^(-Q5*M29)))))),2))</f>
        <v>5.44</v>
      </c>
      <c r="Q29" s="123">
        <f>IF(N29=0,N9,ROUND(((((2.71828183^(LN(2.71828183*Q23)-Q24*2.71828183^(-Q25*N29)))))),2))</f>
        <v>6.96</v>
      </c>
      <c r="R29" s="10">
        <f>(-N5*N6)*2.71828183^((-N6*(N33+0.7*Q22))-N5*2.71828183^(-N6*(N33+0.7*Q22)))</f>
        <v>1.7292574971772754E-2</v>
      </c>
      <c r="S29" s="10">
        <f>(N33+0.7*Q22)</f>
        <v>74</v>
      </c>
    </row>
    <row r="30" spans="1:21" ht="13.8" thickTop="1" x14ac:dyDescent="0.25">
      <c r="A30" s="8"/>
      <c r="B30" s="8"/>
      <c r="C30" s="113">
        <f>((C26-C27)/(C28-C27))</f>
        <v>0.77862455111193152</v>
      </c>
      <c r="D30" s="102">
        <f>((D26-D27)/(D28-D27))</f>
        <v>0.83095235164998338</v>
      </c>
      <c r="E30" s="70"/>
      <c r="F30" s="70"/>
      <c r="G30" s="27"/>
      <c r="H30" s="10">
        <f>(-D5*D6)*2.71828183^((-D6*(D12+0.8*G22))-D5*2.71828183^(-D6*(D12+0.8*G22)))</f>
        <v>2.0015519594302714E-2</v>
      </c>
      <c r="I30" s="10">
        <f>(D12+0.8*G22)</f>
        <v>76</v>
      </c>
      <c r="K30" s="26"/>
      <c r="L30" s="8"/>
      <c r="M30" s="113">
        <f>((M26-M27)/(M28-M27))</f>
        <v>-8.8509123462691814</v>
      </c>
      <c r="N30" s="102">
        <f>((N26-N27)/(N28-N27))</f>
        <v>-12.76193723642036</v>
      </c>
      <c r="O30" s="70"/>
      <c r="P30" s="109"/>
      <c r="Q30" s="109"/>
      <c r="R30" s="10">
        <f>(-N5*N6)*2.71828183^((-N6*(N33+0.8*Q22))-N5*2.71828183^(-N6*(N33+0.8*Q22)))</f>
        <v>2.0015519594302714E-2</v>
      </c>
      <c r="S30" s="10">
        <f>(N33+0.8*Q22)</f>
        <v>76</v>
      </c>
    </row>
    <row r="31" spans="1:21" ht="13.8" thickBot="1" x14ac:dyDescent="0.3">
      <c r="A31" s="124" t="s">
        <v>7</v>
      </c>
      <c r="B31" s="124"/>
      <c r="C31" s="113"/>
      <c r="D31" s="102"/>
      <c r="E31" s="70"/>
      <c r="F31" s="70"/>
      <c r="G31" s="27"/>
      <c r="H31" s="10">
        <f>(-D5*D6)*2.71828183^((-D6*(D12+0.9*G22))-D5*2.71828183^(-D6*(D12+0.9*G22)))</f>
        <v>2.2931964143639624E-2</v>
      </c>
      <c r="I31" s="10">
        <f>(D12+0.9*G22)</f>
        <v>78</v>
      </c>
      <c r="K31" s="125"/>
      <c r="L31" s="124"/>
      <c r="M31" s="113"/>
      <c r="N31" s="102"/>
      <c r="O31" s="70"/>
      <c r="P31" s="70"/>
      <c r="Q31" s="27"/>
      <c r="R31" s="10">
        <f>(-N5*N6)*2.71828183^((-N6*(N33+0.9*Q22))-N5*2.71828183^(-N6*(N33+0.9*Q22)))</f>
        <v>2.2931964143639624E-2</v>
      </c>
      <c r="S31" s="10">
        <f>(N33+0.9*Q22)</f>
        <v>78</v>
      </c>
    </row>
    <row r="32" spans="1:21" ht="14.4" thickTop="1" thickBot="1" x14ac:dyDescent="0.3">
      <c r="A32" s="124" t="s">
        <v>37</v>
      </c>
      <c r="B32" s="124"/>
      <c r="C32" s="35"/>
      <c r="D32" s="36"/>
      <c r="E32" s="70"/>
      <c r="F32" s="70"/>
      <c r="G32" s="27"/>
      <c r="H32" s="10">
        <f>(-D5*D6)*2.71828183^((-D6*(D12+1*G22))-D5*2.71828183^(-D6*(D12+1*G22)))</f>
        <v>2.5949809572637757E-2</v>
      </c>
      <c r="I32" s="10">
        <f>(D12+1*G22)</f>
        <v>80</v>
      </c>
      <c r="K32" s="125"/>
      <c r="L32" s="124"/>
      <c r="M32" s="35"/>
      <c r="N32" s="36"/>
      <c r="O32" s="103" t="s">
        <v>24</v>
      </c>
      <c r="P32" s="104" t="s">
        <v>22</v>
      </c>
      <c r="Q32" s="105" t="s">
        <v>23</v>
      </c>
      <c r="R32" s="10">
        <f>(-N5*N6)*2.71828183^((-N6*(N33+1*Q22))-N5*2.71828183^(-N6*(N33+1*Q22)))</f>
        <v>2.5949809572637757E-2</v>
      </c>
      <c r="S32" s="10">
        <f>(N33+1*Q22)</f>
        <v>80</v>
      </c>
    </row>
    <row r="33" spans="1:19" ht="18.600000000000001" thickTop="1" thickBot="1" x14ac:dyDescent="0.35">
      <c r="A33" s="124" t="s">
        <v>40</v>
      </c>
      <c r="B33" s="126"/>
      <c r="C33" s="127">
        <f>ROUND((100*C30),2)</f>
        <v>77.86</v>
      </c>
      <c r="D33" s="63">
        <f>ROUND((100*D30),2)</f>
        <v>83.1</v>
      </c>
      <c r="E33" s="70"/>
      <c r="F33" s="70"/>
      <c r="G33" s="27"/>
      <c r="H33" s="73"/>
      <c r="I33" s="73"/>
      <c r="K33" s="125" t="s">
        <v>49</v>
      </c>
      <c r="L33" s="126"/>
      <c r="M33" s="128">
        <f>ROUND(((LN((LN((M48-M47)*0.01*M12+M47))/-M5+1))/-M6),2)</f>
        <v>60</v>
      </c>
      <c r="N33" s="63">
        <f>ROUND(((LN((LN((N48-N47)*0.01*N12+N47))/-N5+1))/-N6),2)</f>
        <v>60</v>
      </c>
      <c r="O33" s="129" t="s">
        <v>30</v>
      </c>
      <c r="P33" s="62">
        <f>IF(M33=0,M9,ROUND(((R2*S2)+(R3*S3)+(R4*S4)+(R5*S5)+(R6*S6)+(R7*S7)+(R8*S8)+(R9*S9)+(R10*S10)+(R11*S11)+(R12*S12))/SUM(R2:R12)-M33,2))</f>
        <v>12.27</v>
      </c>
      <c r="Q33" s="62">
        <f>IF(N33=0,N9,ROUND(((R22*S22)+(R23*S23)+(R24*S24)+(R25*S25)+(R26*S26)+(R27*S27)+(R28*S28)+(R29*S29)+(R30*S30)+(R31*S31)+(R32*S32))/SUM(R22:R32)-N33,2))</f>
        <v>13</v>
      </c>
      <c r="R33" s="130"/>
      <c r="S33" s="73"/>
    </row>
    <row r="34" spans="1:19" ht="14.4" thickTop="1" thickBot="1" x14ac:dyDescent="0.3">
      <c r="A34" s="131" t="s">
        <v>41</v>
      </c>
      <c r="B34" s="38"/>
      <c r="C34" s="132"/>
      <c r="D34" s="133"/>
      <c r="E34" s="70"/>
      <c r="F34" s="70"/>
      <c r="G34" s="27"/>
      <c r="K34" s="125"/>
      <c r="L34" s="30"/>
      <c r="M34" s="132"/>
      <c r="N34" s="133"/>
      <c r="O34" s="70"/>
      <c r="P34" s="109"/>
      <c r="Q34" s="109"/>
    </row>
    <row r="35" spans="1:19" ht="13.8" thickTop="1" x14ac:dyDescent="0.25">
      <c r="A35" s="134" t="s">
        <v>17</v>
      </c>
      <c r="B35" s="135"/>
      <c r="C35" s="136"/>
      <c r="D35" s="137"/>
      <c r="E35" s="138"/>
      <c r="F35" s="70"/>
      <c r="G35" s="27"/>
      <c r="K35" s="139" t="s">
        <v>17</v>
      </c>
      <c r="L35" s="135"/>
      <c r="M35" s="136"/>
      <c r="N35" s="137"/>
      <c r="O35" s="138"/>
      <c r="P35" s="70"/>
      <c r="Q35" s="70"/>
    </row>
    <row r="36" spans="1:19" ht="17.399999999999999" x14ac:dyDescent="0.3">
      <c r="A36" s="140" t="s">
        <v>15</v>
      </c>
      <c r="B36" s="140"/>
      <c r="C36" s="190">
        <v>49.38</v>
      </c>
      <c r="D36" s="54">
        <f>(C36)</f>
        <v>49.38</v>
      </c>
      <c r="E36" s="75"/>
      <c r="F36" s="70"/>
      <c r="G36" s="27"/>
      <c r="K36" s="141" t="s">
        <v>15</v>
      </c>
      <c r="L36" s="140"/>
      <c r="M36" s="190">
        <v>49.38</v>
      </c>
      <c r="N36" s="191">
        <v>49.38</v>
      </c>
      <c r="O36" s="75"/>
      <c r="P36" s="70"/>
      <c r="Q36" s="142"/>
    </row>
    <row r="37" spans="1:19" ht="18" thickBot="1" x14ac:dyDescent="0.35">
      <c r="A37" s="143" t="s">
        <v>14</v>
      </c>
      <c r="B37" s="144"/>
      <c r="C37" s="182">
        <v>0</v>
      </c>
      <c r="D37" s="145">
        <f>(C37)</f>
        <v>0</v>
      </c>
      <c r="E37" s="70"/>
      <c r="F37" s="70"/>
      <c r="G37" s="27"/>
      <c r="K37" s="146" t="s">
        <v>14</v>
      </c>
      <c r="L37" s="144"/>
      <c r="M37" s="182">
        <v>0</v>
      </c>
      <c r="N37" s="183">
        <v>0</v>
      </c>
      <c r="O37" s="70"/>
      <c r="P37" s="70"/>
      <c r="Q37" s="27"/>
    </row>
    <row r="38" spans="1:19" ht="14.4" thickTop="1" thickBot="1" x14ac:dyDescent="0.3">
      <c r="A38" s="147"/>
      <c r="B38" s="147"/>
      <c r="C38" s="148">
        <f>((LN(((LN(C36*0.01))/-C5)+2.71828183^(-C6*C37)))/-C6)</f>
        <v>79.999326798607328</v>
      </c>
      <c r="D38" s="149">
        <f>((LN(((LN(C36*0.01))/-D5)+2.71828183^(-D6*D37)))/-D6)</f>
        <v>85.88861982481852</v>
      </c>
      <c r="E38" s="103" t="s">
        <v>24</v>
      </c>
      <c r="F38" s="104" t="s">
        <v>22</v>
      </c>
      <c r="G38" s="105" t="s">
        <v>23</v>
      </c>
      <c r="K38" s="150"/>
      <c r="L38" s="147"/>
      <c r="M38" s="148">
        <f>((LN(((LN(M36*0.01))/-M5)+2.71828183^(-M6*M37)))/-M6)</f>
        <v>79.999326798607328</v>
      </c>
      <c r="N38" s="149">
        <f>((LN(((LN(N36*0.01))/-N5)+2.71828183^(-N6*N37)))/-N6)</f>
        <v>85.88861982481852</v>
      </c>
      <c r="O38" s="103" t="s">
        <v>24</v>
      </c>
      <c r="P38" s="104" t="s">
        <v>22</v>
      </c>
      <c r="Q38" s="105" t="s">
        <v>23</v>
      </c>
    </row>
    <row r="39" spans="1:19" ht="18.600000000000001" thickTop="1" thickBot="1" x14ac:dyDescent="0.35">
      <c r="A39" s="151" t="s">
        <v>16</v>
      </c>
      <c r="B39" s="152"/>
      <c r="C39" s="106">
        <f>ROUND(C38,2)</f>
        <v>80</v>
      </c>
      <c r="D39" s="72">
        <f>ROUND(D38,2)</f>
        <v>85.89</v>
      </c>
      <c r="E39" s="55" t="s">
        <v>25</v>
      </c>
      <c r="F39" s="71">
        <f>IF(C39=0,C9,ROUND(((((2.71828183^(LN(2.71828183*G3)-G4*2.71828183^(-G5*C39)))))),2))</f>
        <v>10.07</v>
      </c>
      <c r="G39" s="108">
        <f>IF(D39=0,D9,ROUND(((((2.71828183^(LN(2.71828183*G23)-G24*2.71828183^(-G25*D39)))))),2))</f>
        <v>9.09</v>
      </c>
      <c r="K39" s="100" t="s">
        <v>16</v>
      </c>
      <c r="L39" s="152"/>
      <c r="M39" s="106">
        <f>ROUND(M38,2)</f>
        <v>80</v>
      </c>
      <c r="N39" s="72">
        <f>ROUND(N38,2)</f>
        <v>85.89</v>
      </c>
      <c r="O39" s="55" t="s">
        <v>25</v>
      </c>
      <c r="P39" s="71">
        <f>IF(M39=0,M9,ROUND(((((2.71828183^(LN(2.71828183*Q3)-Q4*2.71828183^(-Q5*M39)))))),2))</f>
        <v>10.07</v>
      </c>
      <c r="Q39" s="108">
        <f>IF(N39=0,N9,ROUND(((((2.71828183^(LN(2.71828183*Q23)-Q24*2.71828183^(-Q25*N39)))))),2))</f>
        <v>9.09</v>
      </c>
    </row>
    <row r="40" spans="1:19" ht="14.4" thickTop="1" thickBot="1" x14ac:dyDescent="0.3">
      <c r="A40" s="153" t="s">
        <v>12</v>
      </c>
      <c r="B40" s="153"/>
      <c r="C40" s="154"/>
      <c r="D40" s="155"/>
      <c r="E40" s="55"/>
      <c r="F40" s="55"/>
      <c r="G40" s="156"/>
      <c r="K40" s="157" t="s">
        <v>12</v>
      </c>
      <c r="L40" s="153"/>
      <c r="M40" s="154"/>
      <c r="N40" s="155"/>
      <c r="O40" s="158"/>
      <c r="P40" s="159"/>
      <c r="Q40" s="160"/>
    </row>
    <row r="41" spans="1:19" ht="14.4" thickTop="1" thickBot="1" x14ac:dyDescent="0.3">
      <c r="A41" s="84" t="s">
        <v>13</v>
      </c>
      <c r="B41" s="85"/>
      <c r="C41" s="85"/>
      <c r="D41" s="85"/>
      <c r="E41" s="161"/>
      <c r="F41" s="162"/>
      <c r="G41" s="163"/>
      <c r="K41" s="164" t="s">
        <v>13</v>
      </c>
      <c r="L41" s="85"/>
      <c r="M41" s="85"/>
      <c r="N41" s="85"/>
      <c r="O41" s="161"/>
      <c r="P41" s="162"/>
      <c r="Q41" s="163"/>
    </row>
    <row r="42" spans="1:19" ht="13.8" thickTop="1" x14ac:dyDescent="0.25">
      <c r="A42" s="109"/>
      <c r="B42" s="109"/>
      <c r="C42" s="109"/>
      <c r="D42" s="109"/>
      <c r="E42" s="27"/>
      <c r="F42" s="27"/>
      <c r="G42" s="27"/>
      <c r="K42" s="87"/>
      <c r="L42" s="87"/>
      <c r="M42" s="87"/>
      <c r="N42" s="87"/>
      <c r="O42" s="90"/>
      <c r="P42" s="27"/>
      <c r="Q42" s="27"/>
      <c r="R42" s="27"/>
    </row>
    <row r="43" spans="1:19" ht="17.399999999999999" x14ac:dyDescent="0.3">
      <c r="A43" s="70"/>
      <c r="B43" s="70"/>
      <c r="C43" s="70"/>
      <c r="D43" s="70"/>
      <c r="E43" s="70"/>
      <c r="F43" s="70"/>
      <c r="G43" s="165"/>
      <c r="H43" s="27"/>
      <c r="I43" s="27"/>
      <c r="K43" s="90"/>
      <c r="L43" s="90"/>
      <c r="M43" s="90"/>
      <c r="N43" s="90"/>
      <c r="O43" s="90"/>
      <c r="P43" s="27"/>
      <c r="Q43" s="27"/>
      <c r="R43" s="27"/>
    </row>
    <row r="44" spans="1:19" x14ac:dyDescent="0.25">
      <c r="A44" s="70"/>
      <c r="B44" s="70"/>
      <c r="C44" s="70"/>
      <c r="D44" s="70"/>
      <c r="E44" s="70"/>
      <c r="F44" s="70"/>
      <c r="G44" s="166"/>
      <c r="H44" s="28"/>
      <c r="I44" s="28"/>
      <c r="K44" s="167"/>
      <c r="L44" s="167"/>
      <c r="M44" s="167"/>
      <c r="N44" s="167"/>
      <c r="O44" s="167"/>
      <c r="P44" s="27"/>
      <c r="Q44" s="27"/>
      <c r="R44" s="27"/>
    </row>
    <row r="45" spans="1:19" ht="17.399999999999999" x14ac:dyDescent="0.3">
      <c r="A45" s="168"/>
      <c r="B45" s="169"/>
      <c r="C45" s="90"/>
      <c r="D45" s="90"/>
      <c r="E45" s="90"/>
      <c r="F45" s="165"/>
      <c r="G45" s="91"/>
      <c r="H45" s="28"/>
      <c r="I45" s="28"/>
      <c r="K45" s="168"/>
      <c r="L45" s="168"/>
      <c r="M45" s="168"/>
      <c r="N45" s="168"/>
      <c r="O45" s="168"/>
    </row>
    <row r="46" spans="1:19" ht="17.399999999999999" x14ac:dyDescent="0.3">
      <c r="A46" s="170"/>
      <c r="B46" s="171"/>
      <c r="C46" s="172"/>
      <c r="D46" s="169"/>
      <c r="E46" s="70"/>
      <c r="F46" s="172"/>
      <c r="G46" s="91"/>
      <c r="H46" s="28"/>
      <c r="I46" s="28"/>
      <c r="K46" s="70"/>
      <c r="L46" s="173"/>
      <c r="M46" s="173" t="s">
        <v>26</v>
      </c>
      <c r="N46" s="173"/>
      <c r="O46" s="173"/>
    </row>
    <row r="47" spans="1:19" ht="17.399999999999999" x14ac:dyDescent="0.3">
      <c r="A47" s="70"/>
      <c r="B47" s="166"/>
      <c r="C47" s="142"/>
      <c r="D47" s="142"/>
      <c r="E47" s="70"/>
      <c r="F47" s="142"/>
      <c r="G47" s="91"/>
      <c r="H47" s="28"/>
      <c r="I47" s="28"/>
      <c r="K47" s="174"/>
      <c r="L47" s="175"/>
      <c r="M47" s="175">
        <f>(2.71828183^(-M5*(2.71828183^(-M6*M19)-1)))</f>
        <v>0.49377913743440716</v>
      </c>
      <c r="N47" s="175">
        <f>(2.71828183^(-N5*(2.71828183^(-N6*N19)-1)))</f>
        <v>0.67126920171105997</v>
      </c>
      <c r="O47" s="173"/>
      <c r="P47" s="70"/>
      <c r="Q47" s="70"/>
      <c r="R47" s="70"/>
    </row>
    <row r="48" spans="1:19" ht="17.399999999999999" x14ac:dyDescent="0.3">
      <c r="A48" s="70"/>
      <c r="B48" s="176"/>
      <c r="C48" s="76"/>
      <c r="D48" s="76"/>
      <c r="E48" s="70"/>
      <c r="F48" s="76"/>
      <c r="G48" s="91"/>
      <c r="H48" s="28"/>
      <c r="I48" s="28"/>
      <c r="K48" s="174"/>
      <c r="L48" s="175"/>
      <c r="M48" s="175">
        <f>(2.71828183^(-M5*(2.71828183^(-M6*M11)-1)))</f>
        <v>1</v>
      </c>
      <c r="N48" s="175">
        <f>(2.71828183^(-N5*(2.71828183^(-N6*N11)-1)))</f>
        <v>1</v>
      </c>
      <c r="O48" s="173"/>
      <c r="P48" s="177"/>
      <c r="Q48" s="177"/>
      <c r="R48" s="177"/>
    </row>
    <row r="49" spans="1:16" ht="17.399999999999999" x14ac:dyDescent="0.3">
      <c r="A49" s="70"/>
      <c r="B49" s="178"/>
      <c r="C49" s="83"/>
      <c r="D49" s="83"/>
      <c r="E49" s="70"/>
      <c r="F49" s="83"/>
      <c r="G49" s="91"/>
      <c r="H49" s="28"/>
      <c r="I49" s="28"/>
      <c r="L49" s="55"/>
      <c r="M49" s="55"/>
      <c r="N49" s="177"/>
      <c r="O49" s="177"/>
      <c r="P49" s="177"/>
    </row>
    <row r="50" spans="1:16" x14ac:dyDescent="0.25">
      <c r="A50" s="91"/>
      <c r="B50" s="174"/>
      <c r="C50" s="174"/>
      <c r="D50" s="174"/>
      <c r="E50" s="70"/>
      <c r="F50" s="70"/>
      <c r="G50" s="91"/>
      <c r="H50" s="28"/>
      <c r="I50" s="28"/>
      <c r="L50" s="55"/>
      <c r="M50" s="55"/>
      <c r="N50" s="168"/>
      <c r="O50" s="168"/>
      <c r="P50" s="168"/>
    </row>
    <row r="51" spans="1:16" x14ac:dyDescent="0.25">
      <c r="A51" s="91"/>
      <c r="B51" s="91"/>
      <c r="C51" s="91"/>
      <c r="D51" s="179"/>
      <c r="E51" s="70"/>
      <c r="F51" s="70"/>
      <c r="G51" s="91"/>
      <c r="H51" s="28"/>
      <c r="I51" s="28"/>
      <c r="L51" s="55"/>
      <c r="M51" s="55"/>
      <c r="N51" s="91"/>
      <c r="O51" s="91"/>
      <c r="P51" s="91"/>
    </row>
    <row r="52" spans="1:16" x14ac:dyDescent="0.25">
      <c r="A52" s="91"/>
      <c r="B52" s="91"/>
      <c r="C52" s="91"/>
      <c r="D52" s="179"/>
      <c r="E52" s="70"/>
      <c r="F52" s="70"/>
      <c r="G52" s="91"/>
      <c r="H52" s="28"/>
      <c r="I52" s="28"/>
      <c r="N52" s="168"/>
      <c r="O52" s="168"/>
      <c r="P52" s="168"/>
    </row>
    <row r="53" spans="1:16" x14ac:dyDescent="0.25">
      <c r="A53" s="91"/>
      <c r="B53" s="91"/>
      <c r="C53" s="91"/>
      <c r="D53" s="179"/>
      <c r="E53" s="70"/>
      <c r="F53" s="70"/>
      <c r="G53" s="91"/>
      <c r="H53" s="28"/>
      <c r="I53" s="28"/>
      <c r="N53" s="180"/>
      <c r="O53" s="180"/>
      <c r="P53" s="167"/>
    </row>
    <row r="54" spans="1:16" x14ac:dyDescent="0.25">
      <c r="A54" s="27"/>
      <c r="B54" s="27"/>
      <c r="C54" s="27"/>
      <c r="D54" s="27"/>
      <c r="E54" s="27"/>
      <c r="F54" s="27"/>
      <c r="G54" s="28"/>
      <c r="H54" s="28"/>
      <c r="I54" s="28"/>
      <c r="N54" s="70"/>
      <c r="O54" s="70"/>
      <c r="P54" s="167"/>
    </row>
    <row r="55" spans="1:16" x14ac:dyDescent="0.25">
      <c r="A55" s="27"/>
      <c r="B55" s="27"/>
      <c r="C55" s="27"/>
      <c r="D55" s="27"/>
      <c r="E55" s="27"/>
      <c r="F55" s="27"/>
      <c r="G55" s="28"/>
      <c r="H55" s="28"/>
      <c r="I55" s="28"/>
      <c r="N55" s="177"/>
      <c r="O55" s="177"/>
      <c r="P55" s="90"/>
    </row>
    <row r="56" spans="1:16" x14ac:dyDescent="0.25">
      <c r="N56" s="177"/>
      <c r="O56" s="177"/>
      <c r="P56" s="90"/>
    </row>
    <row r="57" spans="1:16" x14ac:dyDescent="0.25">
      <c r="N57" s="177"/>
      <c r="O57" s="177"/>
      <c r="P57" s="90"/>
    </row>
    <row r="58" spans="1:16" x14ac:dyDescent="0.25">
      <c r="A58" s="70"/>
      <c r="B58" s="70"/>
      <c r="C58" s="70"/>
      <c r="D58" s="70"/>
      <c r="E58" s="70"/>
      <c r="F58" s="70"/>
      <c r="G58" s="70"/>
      <c r="H58" s="27"/>
      <c r="I58" s="27"/>
      <c r="N58" s="177"/>
      <c r="O58" s="177"/>
      <c r="P58" s="90"/>
    </row>
    <row r="59" spans="1:16" x14ac:dyDescent="0.25">
      <c r="A59" s="70"/>
      <c r="B59" s="70"/>
      <c r="C59" s="70"/>
      <c r="D59" s="70"/>
      <c r="E59" s="70"/>
      <c r="F59" s="70"/>
      <c r="G59" s="70"/>
      <c r="H59" s="27"/>
      <c r="I59" s="27"/>
      <c r="N59" s="70"/>
      <c r="O59" s="70"/>
      <c r="P59" s="70"/>
    </row>
    <row r="60" spans="1:16" x14ac:dyDescent="0.25">
      <c r="A60" s="70"/>
      <c r="B60" s="70"/>
      <c r="C60" s="70"/>
      <c r="D60" s="70"/>
      <c r="E60" s="70"/>
      <c r="F60" s="70"/>
      <c r="G60" s="166"/>
      <c r="H60" s="27"/>
      <c r="I60" s="27"/>
      <c r="N60" s="70"/>
      <c r="O60" s="70"/>
      <c r="P60" s="70"/>
    </row>
    <row r="61" spans="1:16" ht="17.399999999999999" x14ac:dyDescent="0.3">
      <c r="A61" s="168"/>
      <c r="B61" s="169"/>
      <c r="C61" s="90"/>
      <c r="D61" s="90"/>
      <c r="E61" s="90"/>
      <c r="F61" s="165"/>
      <c r="G61" s="91"/>
      <c r="H61" s="28"/>
      <c r="I61" s="28"/>
      <c r="N61" s="70"/>
      <c r="O61" s="70"/>
      <c r="P61" s="70"/>
    </row>
    <row r="62" spans="1:16" ht="17.399999999999999" x14ac:dyDescent="0.3">
      <c r="A62" s="70"/>
      <c r="B62" s="181"/>
      <c r="C62" s="172"/>
      <c r="D62" s="169"/>
      <c r="E62" s="70"/>
      <c r="F62" s="172"/>
      <c r="G62" s="91"/>
      <c r="H62" s="28"/>
      <c r="I62" s="28"/>
      <c r="N62" s="177"/>
      <c r="O62" s="177"/>
      <c r="P62" s="177"/>
    </row>
    <row r="63" spans="1:16" ht="17.399999999999999" x14ac:dyDescent="0.3">
      <c r="A63" s="70"/>
      <c r="B63" s="166"/>
      <c r="C63" s="142"/>
      <c r="D63" s="142"/>
      <c r="E63" s="70"/>
      <c r="F63" s="142"/>
      <c r="G63" s="70"/>
      <c r="H63" s="28"/>
      <c r="I63" s="28"/>
      <c r="N63" s="168"/>
      <c r="O63" s="168"/>
      <c r="P63" s="168"/>
    </row>
    <row r="64" spans="1:16" ht="17.399999999999999" x14ac:dyDescent="0.3">
      <c r="A64" s="70"/>
      <c r="B64" s="176"/>
      <c r="C64" s="76"/>
      <c r="D64" s="76"/>
      <c r="E64" s="70"/>
      <c r="F64" s="76"/>
      <c r="G64" s="70"/>
      <c r="H64" s="28"/>
      <c r="I64" s="28"/>
      <c r="N64" s="90"/>
      <c r="O64" s="90"/>
      <c r="P64" s="90"/>
    </row>
    <row r="65" spans="1:16" ht="17.399999999999999" x14ac:dyDescent="0.3">
      <c r="A65" s="70"/>
      <c r="B65" s="178"/>
      <c r="C65" s="83"/>
      <c r="D65" s="83"/>
      <c r="E65" s="70"/>
      <c r="F65" s="83"/>
      <c r="G65" s="70"/>
      <c r="H65" s="28"/>
      <c r="I65" s="28"/>
      <c r="N65" s="90"/>
      <c r="O65" s="90"/>
      <c r="P65" s="90"/>
    </row>
    <row r="66" spans="1:16" x14ac:dyDescent="0.25">
      <c r="A66" s="91"/>
      <c r="B66" s="174"/>
      <c r="C66" s="174"/>
      <c r="D66" s="174"/>
      <c r="E66" s="70"/>
      <c r="F66" s="70"/>
      <c r="G66" s="70"/>
      <c r="H66" s="28"/>
      <c r="I66" s="28"/>
      <c r="N66" s="90"/>
      <c r="O66" s="90"/>
      <c r="P66" s="90"/>
    </row>
    <row r="67" spans="1:16" x14ac:dyDescent="0.25">
      <c r="A67" s="91"/>
      <c r="B67" s="91"/>
      <c r="C67" s="91"/>
      <c r="D67" s="179"/>
      <c r="E67" s="70"/>
      <c r="F67" s="70"/>
      <c r="G67" s="70"/>
      <c r="H67" s="28"/>
      <c r="I67" s="28"/>
      <c r="N67" s="168"/>
      <c r="O67" s="168"/>
      <c r="P67" s="168"/>
    </row>
    <row r="68" spans="1:16" x14ac:dyDescent="0.25">
      <c r="A68" s="91"/>
      <c r="B68" s="91"/>
      <c r="C68" s="91"/>
      <c r="D68" s="179"/>
      <c r="E68" s="70"/>
      <c r="F68" s="70"/>
      <c r="G68" s="70"/>
      <c r="H68" s="28"/>
      <c r="I68" s="28"/>
      <c r="N68" s="90"/>
      <c r="O68" s="90"/>
      <c r="P68" s="90"/>
    </row>
    <row r="69" spans="1:16" x14ac:dyDescent="0.25">
      <c r="A69" s="91"/>
      <c r="B69" s="91"/>
      <c r="C69" s="91"/>
      <c r="D69" s="179"/>
      <c r="E69" s="70"/>
      <c r="F69" s="70"/>
      <c r="G69" s="70"/>
      <c r="H69" s="28"/>
      <c r="I69" s="28"/>
      <c r="N69" s="90"/>
      <c r="O69" s="90"/>
      <c r="P69" s="90"/>
    </row>
    <row r="70" spans="1:16" x14ac:dyDescent="0.25">
      <c r="A70" s="70"/>
      <c r="B70" s="70"/>
      <c r="C70" s="70"/>
      <c r="D70" s="70"/>
      <c r="E70" s="70"/>
      <c r="F70" s="70"/>
      <c r="G70" s="70"/>
      <c r="H70" s="28"/>
      <c r="I70" s="28"/>
      <c r="N70" s="90"/>
      <c r="O70" s="90"/>
      <c r="P70" s="90"/>
    </row>
    <row r="71" spans="1:16" x14ac:dyDescent="0.25">
      <c r="A71" s="70"/>
      <c r="B71" s="70"/>
      <c r="C71" s="70"/>
      <c r="D71" s="70"/>
      <c r="E71" s="70"/>
      <c r="F71" s="70"/>
      <c r="G71" s="70"/>
      <c r="H71" s="28"/>
      <c r="I71" s="28"/>
      <c r="N71" s="90"/>
      <c r="O71" s="90"/>
      <c r="P71" s="90"/>
    </row>
    <row r="72" spans="1:16" x14ac:dyDescent="0.25">
      <c r="A72" s="70"/>
      <c r="B72" s="70"/>
      <c r="C72" s="70"/>
      <c r="D72" s="70"/>
      <c r="E72" s="70"/>
      <c r="F72" s="70"/>
      <c r="G72" s="70"/>
      <c r="H72" s="27"/>
      <c r="I72" s="27"/>
      <c r="N72" s="90"/>
      <c r="O72" s="90"/>
      <c r="P72" s="90"/>
    </row>
    <row r="73" spans="1:16" x14ac:dyDescent="0.25">
      <c r="N73" s="168"/>
      <c r="O73" s="168"/>
      <c r="P73" s="168"/>
    </row>
    <row r="74" spans="1:16" x14ac:dyDescent="0.25">
      <c r="N74" s="90"/>
      <c r="O74" s="90"/>
      <c r="P74" s="90"/>
    </row>
    <row r="75" spans="1:16" x14ac:dyDescent="0.25">
      <c r="N75" s="90"/>
      <c r="O75" s="90"/>
      <c r="P75" s="90"/>
    </row>
    <row r="76" spans="1:16" x14ac:dyDescent="0.25">
      <c r="N76" s="90"/>
      <c r="O76" s="90"/>
      <c r="P76" s="90"/>
    </row>
    <row r="77" spans="1:16" x14ac:dyDescent="0.25">
      <c r="N77" s="168"/>
      <c r="O77" s="168"/>
      <c r="P77" s="168"/>
    </row>
    <row r="78" spans="1:16" x14ac:dyDescent="0.25">
      <c r="N78" s="90"/>
      <c r="O78" s="90"/>
      <c r="P78" s="90"/>
    </row>
    <row r="79" spans="1:16" x14ac:dyDescent="0.25">
      <c r="N79" s="167"/>
      <c r="O79" s="167"/>
      <c r="P79" s="167"/>
    </row>
    <row r="80" spans="1:16" x14ac:dyDescent="0.25">
      <c r="N80" s="167"/>
      <c r="O80" s="167"/>
      <c r="P80" s="167"/>
    </row>
    <row r="81" spans="14:16" x14ac:dyDescent="0.25">
      <c r="N81" s="167"/>
      <c r="O81" s="167"/>
      <c r="P81" s="167"/>
    </row>
    <row r="82" spans="14:16" x14ac:dyDescent="0.25">
      <c r="N82" s="90"/>
      <c r="O82" s="90"/>
      <c r="P82" s="90"/>
    </row>
    <row r="83" spans="14:16" x14ac:dyDescent="0.25">
      <c r="N83" s="90"/>
      <c r="O83" s="90"/>
      <c r="P83" s="90"/>
    </row>
    <row r="84" spans="14:16" x14ac:dyDescent="0.25">
      <c r="N84" s="167"/>
      <c r="O84" s="167"/>
      <c r="P84" s="167"/>
    </row>
    <row r="85" spans="14:16" x14ac:dyDescent="0.25">
      <c r="N85" s="168"/>
      <c r="O85" s="168"/>
      <c r="P85" s="168"/>
    </row>
    <row r="86" spans="14:16" x14ac:dyDescent="0.25">
      <c r="N86" s="70"/>
      <c r="O86" s="70"/>
      <c r="P86" s="70"/>
    </row>
    <row r="87" spans="14:16" x14ac:dyDescent="0.25">
      <c r="O87" s="27"/>
      <c r="P87" s="27"/>
    </row>
  </sheetData>
  <sheetProtection algorithmName="SHA-512" hashValue="GiT/EanqT+K6QCtAEUW3b6fD9doXCnMUPyBvl6Csg4M/yp2LOskthRHtP3MU6Z/3LCBDSJjbIhb8sjUdmsCXtw==" saltValue="xcZLv5h8uchJ4UyOJt1glA==" spinCount="100000" sheet="1" objects="1" scenarios="1"/>
  <phoneticPr fontId="2" type="noConversion"/>
  <dataValidations count="4">
    <dataValidation type="decimal" allowBlank="1" showInputMessage="1" showErrorMessage="1" sqref="C11 C36 N37 M11 N11 M12 N12 M13 N13 M14 N14 M36 N36 M37 C37" xr:uid="{5C1166CF-29A7-4DE0-8C37-FB656F56F384}">
      <formula1>0</formula1>
      <formula2>100</formula2>
    </dataValidation>
    <dataValidation type="decimal" allowBlank="1" showInputMessage="1" showErrorMessage="1" sqref="C12" xr:uid="{493528FC-3949-4FE3-BC91-1975657C6040}">
      <formula1>C11</formula1>
      <formula2>C13</formula2>
    </dataValidation>
    <dataValidation type="decimal" allowBlank="1" showInputMessage="1" showErrorMessage="1" sqref="C13" xr:uid="{18F07876-FD90-4E4C-A9A1-B87815D1A3E2}">
      <formula1>C11</formula1>
      <formula2>100</formula2>
    </dataValidation>
    <dataValidation type="decimal" allowBlank="1" showInputMessage="1" showErrorMessage="1" sqref="C14" xr:uid="{5230BA98-63C4-4CBC-B55E-E8E59A714B2B}">
      <formula1>C13</formula1>
      <formula2>100</formula2>
    </dataValidation>
  </dataValidations>
  <pageMargins left="0.78740157499999996" right="0.78740157499999996" top="0.984251969" bottom="0.984251969" header="0.4921259845" footer="0.4921259845"/>
  <pageSetup paperSize="9" orientation="portrait" horizontalDpi="4294967293" verticalDpi="4294967293" r:id="rId1"/>
  <headerFooter alignWithMargins="0"/>
  <ignoredErrors>
    <ignoredError sqref="F12:G12"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50"/>
  <sheetViews>
    <sheetView zoomScale="70" workbookViewId="0">
      <selection activeCell="C19" sqref="C19"/>
    </sheetView>
  </sheetViews>
  <sheetFormatPr baseColWidth="10" defaultRowHeight="13.2" x14ac:dyDescent="0.25"/>
  <cols>
    <col min="1" max="2" width="11.5546875" style="2"/>
    <col min="3" max="3" width="13.109375" style="2" customWidth="1"/>
    <col min="4" max="4" width="15.5546875" style="2" customWidth="1"/>
    <col min="5" max="5" width="18.77734375" style="2" customWidth="1"/>
    <col min="6" max="7" width="11.6640625" style="2" bestFit="1" customWidth="1"/>
    <col min="8" max="8" width="14.5546875" style="2" customWidth="1"/>
    <col min="9" max="9" width="11.6640625" style="2" bestFit="1" customWidth="1"/>
    <col min="10" max="10" width="26.44140625" style="2" customWidth="1"/>
    <col min="11" max="11" width="14.109375" style="2" customWidth="1"/>
    <col min="12" max="12" width="55.33203125" style="2" customWidth="1"/>
    <col min="13" max="13" width="16" style="2" customWidth="1"/>
    <col min="14" max="14" width="14" style="2" customWidth="1"/>
    <col min="15" max="15" width="18.5546875" style="2" customWidth="1"/>
    <col min="16" max="16" width="11.6640625" style="2" bestFit="1" customWidth="1"/>
    <col min="17" max="17" width="14.44140625" style="2" customWidth="1"/>
    <col min="18" max="18" width="13.109375" style="2" bestFit="1" customWidth="1"/>
    <col min="19" max="19" width="11.6640625" style="2" bestFit="1" customWidth="1"/>
    <col min="20" max="16384" width="11.5546875" style="2"/>
  </cols>
  <sheetData>
    <row r="1" spans="1:19" ht="14.4" thickBot="1" x14ac:dyDescent="0.3">
      <c r="E1" s="3"/>
      <c r="O1" s="3"/>
    </row>
    <row r="2" spans="1:19" ht="14.4" thickTop="1" x14ac:dyDescent="0.25">
      <c r="A2" s="4" t="s">
        <v>54</v>
      </c>
      <c r="B2" s="5"/>
      <c r="C2" s="5"/>
      <c r="D2" s="6"/>
      <c r="E2" s="7" t="s">
        <v>63</v>
      </c>
      <c r="F2" s="8"/>
      <c r="G2" s="9">
        <f>(C13-C12)</f>
        <v>20</v>
      </c>
      <c r="H2" s="10">
        <f>(-C5*C6)*2.71828183^((-C6*(C12+0*G2))-C5*2.71828183^(-C6*(C12+0*G2)))</f>
        <v>1.1227194468406074E-2</v>
      </c>
      <c r="I2" s="10">
        <f>(C12+0*G2)</f>
        <v>60</v>
      </c>
      <c r="K2" s="4" t="s">
        <v>54</v>
      </c>
      <c r="L2" s="5"/>
      <c r="M2" s="5"/>
      <c r="N2" s="6"/>
      <c r="O2" s="7" t="s">
        <v>63</v>
      </c>
      <c r="P2" s="8"/>
      <c r="Q2" s="9">
        <f>(M19-M33)</f>
        <v>20</v>
      </c>
      <c r="R2" s="10">
        <f>(-M5*M6)*2.71828183^((-M6*(M33+0*Q2))-M5*2.71828183^(-M6*(M33+0*Q2)))</f>
        <v>1.1227194468406074E-2</v>
      </c>
      <c r="S2" s="10">
        <f>(M33+0*Q2)</f>
        <v>60</v>
      </c>
    </row>
    <row r="3" spans="1:19" ht="14.4" thickBot="1" x14ac:dyDescent="0.3">
      <c r="A3" s="11" t="s">
        <v>21</v>
      </c>
      <c r="B3" s="12"/>
      <c r="C3" s="12"/>
      <c r="D3" s="13"/>
      <c r="E3" s="14" t="s">
        <v>27</v>
      </c>
      <c r="F3" s="14"/>
      <c r="G3" s="15">
        <v>45.524999999999999</v>
      </c>
      <c r="H3" s="10">
        <f>(-C5*C6)*2.71828183^((-C6*(C12+0.1*G2))-C5*2.71828183^(-C6*(C12+0.1*G2)))</f>
        <v>1.3109818717379536E-2</v>
      </c>
      <c r="I3" s="10">
        <f>(C12+0.1*G2)</f>
        <v>62</v>
      </c>
      <c r="K3" s="11" t="s">
        <v>21</v>
      </c>
      <c r="L3" s="12"/>
      <c r="M3" s="12"/>
      <c r="N3" s="13"/>
      <c r="O3" s="14" t="s">
        <v>27</v>
      </c>
      <c r="P3" s="14"/>
      <c r="Q3" s="15">
        <f t="shared" ref="Q3:Q5" si="0">G3</f>
        <v>45.524999999999999</v>
      </c>
      <c r="R3" s="10">
        <f>(-M5*M6)*2.71828183^((-M6*(M33+0.1*Q2))-M5*2.71828183^(-M6*(M33+0.1*Q2)))</f>
        <v>1.3109818717379536E-2</v>
      </c>
      <c r="S3" s="10">
        <f>(M33+0.1*Q2)</f>
        <v>62</v>
      </c>
    </row>
    <row r="4" spans="1:19" ht="13.8" thickTop="1" x14ac:dyDescent="0.25">
      <c r="A4" s="192" t="s">
        <v>59</v>
      </c>
      <c r="B4" s="17"/>
      <c r="C4" s="18" t="s">
        <v>55</v>
      </c>
      <c r="D4" s="19" t="s">
        <v>56</v>
      </c>
      <c r="E4" s="15" t="s">
        <v>61</v>
      </c>
      <c r="F4" s="20" t="s">
        <v>29</v>
      </c>
      <c r="G4" s="15">
        <v>0.45372908000000001</v>
      </c>
      <c r="H4" s="10">
        <f>(-C5*C6)*2.71828183^((-C6*(C12+0.2*G2))-C5*2.71828183^(-C6*(C12+0.2*G2)))</f>
        <v>1.5220939022392029E-2</v>
      </c>
      <c r="I4" s="10">
        <f>(C12+0.2*G2)</f>
        <v>64</v>
      </c>
      <c r="K4" s="21" t="s">
        <v>60</v>
      </c>
      <c r="L4" s="17"/>
      <c r="M4" s="18" t="s">
        <v>55</v>
      </c>
      <c r="N4" s="193" t="s">
        <v>56</v>
      </c>
      <c r="O4" s="15" t="s">
        <v>61</v>
      </c>
      <c r="P4" s="20" t="s">
        <v>29</v>
      </c>
      <c r="Q4" s="15">
        <f t="shared" si="0"/>
        <v>0.45372908000000001</v>
      </c>
      <c r="R4" s="10">
        <f>(-M5*M6)*2.71828183^((-M6*(M33+0.2*Q2))-M5*2.71828183^(-M6*(M33+0.2*Q2)))</f>
        <v>1.5220939022392029E-2</v>
      </c>
      <c r="S4" s="10">
        <f>(M33+0.2*Q2)</f>
        <v>64</v>
      </c>
    </row>
    <row r="5" spans="1:19" x14ac:dyDescent="0.25">
      <c r="A5" s="26" t="s">
        <v>0</v>
      </c>
      <c r="B5" s="23"/>
      <c r="C5" s="24">
        <v>5.7498E-4</v>
      </c>
      <c r="D5" s="25">
        <v>1.8600999999999999E-4</v>
      </c>
      <c r="E5" s="15" t="s">
        <v>62</v>
      </c>
      <c r="F5" s="15" t="s">
        <v>28</v>
      </c>
      <c r="G5" s="15">
        <v>-2.20377E-2</v>
      </c>
      <c r="H5" s="10">
        <f>(-C5*C6)*2.71828183^((-C6*(C12+0.3*G2))-C5*2.71828183^(-C6*(C12+0.3*G2)))</f>
        <v>1.7551174311460631E-2</v>
      </c>
      <c r="I5" s="10">
        <f>(C12+0.3*G2)</f>
        <v>66</v>
      </c>
      <c r="K5" s="26" t="s">
        <v>0</v>
      </c>
      <c r="L5" s="23"/>
      <c r="M5" s="24">
        <f t="shared" ref="M5:N9" si="1">C5</f>
        <v>5.7498E-4</v>
      </c>
      <c r="N5" s="25">
        <f t="shared" si="1"/>
        <v>1.8600999999999999E-4</v>
      </c>
      <c r="O5" s="15" t="s">
        <v>62</v>
      </c>
      <c r="P5" s="15" t="s">
        <v>28</v>
      </c>
      <c r="Q5" s="15">
        <f t="shared" si="0"/>
        <v>-2.20377E-2</v>
      </c>
      <c r="R5" s="10">
        <f>(-M5*M6)*2.71828183^((-M6*(M33+0.3*Q2))-M5*2.71828183^(-M6*(M33+0.3*Q2)))</f>
        <v>1.7551174311460631E-2</v>
      </c>
      <c r="S5" s="10">
        <f>(M33+0.3*Q2)</f>
        <v>66</v>
      </c>
    </row>
    <row r="6" spans="1:19" x14ac:dyDescent="0.25">
      <c r="A6" s="26" t="s">
        <v>1</v>
      </c>
      <c r="B6" s="23"/>
      <c r="C6" s="24">
        <v>-9.1699462999999995E-2</v>
      </c>
      <c r="D6" s="25">
        <v>-0.100543112</v>
      </c>
      <c r="E6" s="27"/>
      <c r="F6" s="28"/>
      <c r="G6" s="28"/>
      <c r="H6" s="10">
        <f>(-C5*C6)*2.71828183^((-C6*(C12+0.4*G2))-C5*2.71828183^(-C6*(C12+0.4*G2)))</f>
        <v>2.0072017473887777E-2</v>
      </c>
      <c r="I6" s="10">
        <f>(C12+0.4*G2)</f>
        <v>68</v>
      </c>
      <c r="K6" s="26" t="s">
        <v>1</v>
      </c>
      <c r="L6" s="23"/>
      <c r="M6" s="24">
        <f t="shared" si="1"/>
        <v>-9.1699462999999995E-2</v>
      </c>
      <c r="N6" s="25">
        <f t="shared" si="1"/>
        <v>-0.100543112</v>
      </c>
      <c r="O6" s="27"/>
      <c r="P6" s="28"/>
      <c r="Q6" s="28"/>
      <c r="R6" s="10">
        <f>(-M5*M6)*2.71828183^((-M6*(M33+0.4*Q2))-M5*2.71828183^(-M6*(M33+0.4*Q2)))</f>
        <v>2.0072017473887777E-2</v>
      </c>
      <c r="S6" s="10">
        <f>(M33+0.4*Q2)</f>
        <v>68</v>
      </c>
    </row>
    <row r="7" spans="1:19" x14ac:dyDescent="0.25">
      <c r="A7" s="34" t="s">
        <v>19</v>
      </c>
      <c r="B7" s="30"/>
      <c r="C7" s="31">
        <v>81.37</v>
      </c>
      <c r="D7" s="32">
        <v>85.43</v>
      </c>
      <c r="F7" s="33"/>
      <c r="G7" s="33"/>
      <c r="H7" s="10">
        <f>(-C5*C6)*2.71828183^((-C6*(C12+0.5*G2))-C5*2.71828183^(-C6*(C12+0.5*G2)))</f>
        <v>2.2728740948234346E-2</v>
      </c>
      <c r="I7" s="10">
        <f>(C12+0.5*G2)</f>
        <v>70</v>
      </c>
      <c r="K7" s="34" t="s">
        <v>19</v>
      </c>
      <c r="L7" s="30"/>
      <c r="M7" s="31">
        <f t="shared" si="1"/>
        <v>81.37</v>
      </c>
      <c r="N7" s="32">
        <f t="shared" si="1"/>
        <v>85.43</v>
      </c>
      <c r="R7" s="10">
        <f>(-M5*M6)*2.71828183^((-M6*(M33+0.5*Q2))-M5*2.71828183^(-M6*(M33+0.5*Q2)))</f>
        <v>2.2728740948234346E-2</v>
      </c>
      <c r="S7" s="10">
        <f>(M33+0.5*Q2)</f>
        <v>70</v>
      </c>
    </row>
    <row r="8" spans="1:19" x14ac:dyDescent="0.25">
      <c r="A8" s="34" t="s">
        <v>53</v>
      </c>
      <c r="B8" s="23"/>
      <c r="C8" s="35">
        <v>0.99922443999999999</v>
      </c>
      <c r="D8" s="36">
        <v>0.99788199</v>
      </c>
      <c r="H8" s="10">
        <f>(-C5*C6)*2.71828183^((-C6*(C12+0.6*G2))-C5*2.71828183^(-C6*(C12+0.6*G2)))</f>
        <v>2.5432764796398104E-2</v>
      </c>
      <c r="I8" s="10">
        <f>(C12+0.6*G2)</f>
        <v>72</v>
      </c>
      <c r="K8" s="26" t="s">
        <v>2</v>
      </c>
      <c r="L8" s="23"/>
      <c r="M8" s="35">
        <f t="shared" si="1"/>
        <v>0.99922443999999999</v>
      </c>
      <c r="N8" s="36">
        <f t="shared" si="1"/>
        <v>0.99788199</v>
      </c>
      <c r="R8" s="10">
        <f>(-M5*M6)*2.71828183^((-M6*(M33+0.6*Q2))-M5*2.71828183^(-M6*(M33+0.6*Q2)))</f>
        <v>2.5432764796398104E-2</v>
      </c>
      <c r="S8" s="10">
        <f>(M33+0.6*Q2)</f>
        <v>72</v>
      </c>
    </row>
    <row r="9" spans="1:19" ht="13.8" thickBot="1" x14ac:dyDescent="0.3">
      <c r="A9" s="43" t="s">
        <v>20</v>
      </c>
      <c r="B9" s="38"/>
      <c r="C9" s="39">
        <v>78.13</v>
      </c>
      <c r="D9" s="40">
        <v>82.98</v>
      </c>
      <c r="E9" s="41"/>
      <c r="F9" s="42"/>
      <c r="G9" s="42"/>
      <c r="H9" s="10">
        <f>(-C5*C6)*2.71828183^((-C6*(C12+0.7*G2))-C5*2.71828183^(-C6*(C12+0.7*G2)))</f>
        <v>2.8054704644457463E-2</v>
      </c>
      <c r="I9" s="10">
        <f>(C12+0.7*G2)</f>
        <v>74</v>
      </c>
      <c r="K9" s="43" t="s">
        <v>20</v>
      </c>
      <c r="L9" s="38"/>
      <c r="M9" s="39">
        <f t="shared" si="1"/>
        <v>78.13</v>
      </c>
      <c r="N9" s="40">
        <f t="shared" si="1"/>
        <v>82.98</v>
      </c>
      <c r="O9" s="41"/>
      <c r="P9" s="42"/>
      <c r="Q9" s="42"/>
      <c r="R9" s="10">
        <f>(-M5*M6)*2.71828183^((-M6*(M33+0.7*Q2))-M5*2.71828183^(-M6*(M33+0.7*Q2)))</f>
        <v>2.8054704644457463E-2</v>
      </c>
      <c r="S9" s="10">
        <f>(M33+0.7*Q2)</f>
        <v>74</v>
      </c>
    </row>
    <row r="10" spans="1:19" ht="14.4" thickTop="1" thickBot="1" x14ac:dyDescent="0.3">
      <c r="A10" s="51" t="s">
        <v>18</v>
      </c>
      <c r="B10" s="45"/>
      <c r="C10" s="46"/>
      <c r="D10" s="47"/>
      <c r="E10" s="48" t="s">
        <v>24</v>
      </c>
      <c r="F10" s="49" t="s">
        <v>22</v>
      </c>
      <c r="G10" s="50" t="s">
        <v>23</v>
      </c>
      <c r="H10" s="10">
        <f>(-C5*C6)*2.71828183^((-C6*(C12+0.8*G2))-C5*2.71828183^(-C6*(C12+0.8*G2)))</f>
        <v>3.042023150942344E-2</v>
      </c>
      <c r="I10" s="10">
        <f>(C12+0.8*G2)</f>
        <v>76</v>
      </c>
      <c r="K10" s="51" t="s">
        <v>18</v>
      </c>
      <c r="L10" s="45"/>
      <c r="M10" s="46"/>
      <c r="N10" s="47"/>
      <c r="O10" s="48" t="s">
        <v>24</v>
      </c>
      <c r="P10" s="49" t="s">
        <v>22</v>
      </c>
      <c r="Q10" s="50" t="s">
        <v>23</v>
      </c>
      <c r="R10" s="10">
        <f>(-M5*M6)*2.71828183^((-M6*(M33+0.8*Q2))-M5*2.71828183^(-M6*(M33+0.8*Q2)))</f>
        <v>3.042023150942344E-2</v>
      </c>
      <c r="S10" s="10">
        <f>(M33+0.8*Q2)</f>
        <v>76</v>
      </c>
    </row>
    <row r="11" spans="1:19" ht="18.600000000000001" thickTop="1" thickBot="1" x14ac:dyDescent="0.35">
      <c r="A11" s="194" t="s">
        <v>11</v>
      </c>
      <c r="B11" s="53"/>
      <c r="C11" s="182">
        <v>0</v>
      </c>
      <c r="D11" s="54">
        <f>(C11)</f>
        <v>0</v>
      </c>
      <c r="E11" s="55" t="s">
        <v>25</v>
      </c>
      <c r="F11" s="56">
        <f>IF(C11=0,C9,ROUND(((((2.71828183^(LN(2.71828183*G3)-G4*2.71828183^(-G5*C11)))))),2))</f>
        <v>78.13</v>
      </c>
      <c r="G11" s="57">
        <f>IF(D11=0,D9,ROUND(((((2.71828183^(LN(2.71828183*G23)-G24*2.71828183^(-G25*D11)))))),2))</f>
        <v>82.98</v>
      </c>
      <c r="H11" s="10">
        <f>(-C5*C6)*2.71828183^((-C6*(C12+0.9*G2))-C5*2.71828183^(-C6*(C12+0.9*G2)))</f>
        <v>3.2311960611205677E-2</v>
      </c>
      <c r="I11" s="10">
        <f>(C12+0.9*G2)</f>
        <v>78</v>
      </c>
      <c r="K11" s="58" t="s">
        <v>42</v>
      </c>
      <c r="L11" s="53"/>
      <c r="M11" s="182">
        <v>0</v>
      </c>
      <c r="N11" s="183">
        <v>0</v>
      </c>
      <c r="O11" s="55" t="s">
        <v>25</v>
      </c>
      <c r="P11" s="56">
        <f>IF(M11=0,M9,ROUND(((((2.71828183^(LN(2.71828183*Q3)-Q4*2.71828183^(-Q5*M11)))))),2))</f>
        <v>78.13</v>
      </c>
      <c r="Q11" s="57">
        <f>IF(N11=0,N9,ROUND(((((2.71828183^(LN(2.71828183*Q23)-Q24*2.71828183^(-Q25*N11)))))),2))</f>
        <v>82.98</v>
      </c>
      <c r="R11" s="10">
        <f>(-M5*M6)*2.71828183^((-M6*(M33+0.9*Q2))-M5*2.71828183^(-M6*(M33+0.9*Q2)))</f>
        <v>3.2311960611205677E-2</v>
      </c>
      <c r="S11" s="10">
        <f>(M33+0.9*Q2)</f>
        <v>78</v>
      </c>
    </row>
    <row r="12" spans="1:19" ht="18" thickTop="1" x14ac:dyDescent="0.3">
      <c r="A12" s="65" t="s">
        <v>10</v>
      </c>
      <c r="B12" s="60"/>
      <c r="C12" s="184">
        <v>60</v>
      </c>
      <c r="D12" s="54">
        <f>(C12)</f>
        <v>60</v>
      </c>
      <c r="E12" s="61" t="s">
        <v>30</v>
      </c>
      <c r="F12" s="62">
        <f>ROUND(((H2*I2)+(H3*I3)+(H4*I4)+(H5*I5)+(H6*I6)+(H7*I7)+(H8*I8)+(H9*I9)+(H10*I10)+(H11*I11)+(H12*I12))/SUM(H2:H12)-C12,2)</f>
        <v>12.08</v>
      </c>
      <c r="G12" s="195">
        <f>ROUND(((H22*I22)+(H23*I23)+(H24*I24)+(H25*I25)+(H26*I26)+(H27*I27)+(H28*I28)+(H29*I29)+(H30*I30)+(H31*I31)+(H32*I32))/SUM(H22:H32)-D12,2)</f>
        <v>12.83</v>
      </c>
      <c r="H12" s="64">
        <f>(-C5*C6)*2.71828183^((-C6*(C12+1*G2))-C5*2.71828183^(-C6*(C12+1*G2)))</f>
        <v>3.348153032833788E-2</v>
      </c>
      <c r="I12" s="10">
        <f>(C12+1*G2)</f>
        <v>80</v>
      </c>
      <c r="K12" s="65" t="s">
        <v>43</v>
      </c>
      <c r="L12" s="60"/>
      <c r="M12" s="184">
        <v>77.650000000000006</v>
      </c>
      <c r="N12" s="185">
        <v>83.07</v>
      </c>
      <c r="O12" s="66"/>
      <c r="P12" s="67"/>
      <c r="Q12" s="67"/>
      <c r="R12" s="10">
        <f>(-M5*M6)*2.71828183^((-M6*(M33+1*Q2))-M5*2.71828183^(-M6*(M33+1*Q2)))</f>
        <v>3.348153032833788E-2</v>
      </c>
      <c r="S12" s="10">
        <f>(M33+1*Q2)</f>
        <v>80</v>
      </c>
    </row>
    <row r="13" spans="1:19" ht="17.399999999999999" x14ac:dyDescent="0.3">
      <c r="A13" s="74" t="s">
        <v>9</v>
      </c>
      <c r="B13" s="69"/>
      <c r="C13" s="186">
        <v>80</v>
      </c>
      <c r="D13" s="54">
        <v>80</v>
      </c>
      <c r="E13" s="70" t="s">
        <v>25</v>
      </c>
      <c r="F13" s="71">
        <f>ROUND(((((2.71828183^(LN(2.71828183*G3)-G4*2.71828183^(-G5*C13)))))),2)</f>
        <v>8.7799999999999994</v>
      </c>
      <c r="G13" s="72">
        <f>ROUND(((((2.71828183^(LN(2.71828183*G23)-G24*2.71828183^(-G25*D13)))))),2)</f>
        <v>10.220000000000001</v>
      </c>
      <c r="H13" s="73"/>
      <c r="I13" s="73"/>
      <c r="K13" s="74" t="s">
        <v>44</v>
      </c>
      <c r="L13" s="69"/>
      <c r="M13" s="186">
        <v>41.41</v>
      </c>
      <c r="N13" s="187">
        <v>56.05</v>
      </c>
      <c r="O13" s="75"/>
      <c r="P13" s="76"/>
      <c r="Q13" s="76"/>
      <c r="R13" s="73"/>
      <c r="S13" s="73"/>
    </row>
    <row r="14" spans="1:19" ht="18" thickBot="1" x14ac:dyDescent="0.35">
      <c r="A14" s="82" t="s">
        <v>8</v>
      </c>
      <c r="B14" s="78"/>
      <c r="C14" s="188">
        <v>90</v>
      </c>
      <c r="D14" s="79">
        <f>(C14)</f>
        <v>90</v>
      </c>
      <c r="E14" s="55" t="s">
        <v>25</v>
      </c>
      <c r="F14" s="80">
        <f>ROUND(((((2.71828183^(LN(2.71828183*G3)-G4*2.71828183^(-G5*C14)))))),2)</f>
        <v>4.58</v>
      </c>
      <c r="G14" s="81">
        <f>ROUND(((((2.71828183^(LN(2.71828183*G23)-G24*2.71828183^(-G25*D14)))))),2)</f>
        <v>5.21</v>
      </c>
      <c r="H14" s="73"/>
      <c r="I14" s="73"/>
      <c r="K14" s="82" t="s">
        <v>45</v>
      </c>
      <c r="L14" s="78"/>
      <c r="M14" s="188">
        <v>26.58</v>
      </c>
      <c r="N14" s="189">
        <v>36.65</v>
      </c>
      <c r="O14" s="75"/>
      <c r="P14" s="83"/>
      <c r="Q14" s="83"/>
      <c r="R14" s="73"/>
      <c r="S14" s="73"/>
    </row>
    <row r="15" spans="1:19" ht="14.4" thickTop="1" thickBot="1" x14ac:dyDescent="0.3">
      <c r="A15" s="89" t="s">
        <v>13</v>
      </c>
      <c r="B15" s="196"/>
      <c r="C15" s="196"/>
      <c r="D15" s="86"/>
      <c r="E15" s="66"/>
      <c r="F15" s="87"/>
      <c r="G15" s="88"/>
      <c r="H15" s="73"/>
      <c r="I15" s="73"/>
      <c r="K15" s="89" t="s">
        <v>13</v>
      </c>
      <c r="L15" s="85"/>
      <c r="M15" s="85"/>
      <c r="N15" s="86"/>
      <c r="O15" s="75"/>
      <c r="P15" s="90"/>
      <c r="Q15" s="91"/>
      <c r="R15" s="73"/>
      <c r="S15" s="73"/>
    </row>
    <row r="16" spans="1:19" ht="13.8" thickTop="1" x14ac:dyDescent="0.25">
      <c r="A16" s="96" t="s">
        <v>6</v>
      </c>
      <c r="B16" s="93"/>
      <c r="C16" s="94"/>
      <c r="D16" s="95"/>
      <c r="E16" s="70"/>
      <c r="F16" s="70"/>
      <c r="G16" s="70"/>
      <c r="H16" s="73"/>
      <c r="I16" s="73"/>
      <c r="K16" s="96" t="s">
        <v>6</v>
      </c>
      <c r="L16" s="93"/>
      <c r="M16" s="94"/>
      <c r="N16" s="95"/>
      <c r="O16" s="70"/>
      <c r="P16" s="70"/>
      <c r="Q16" s="70"/>
      <c r="R16" s="73"/>
      <c r="S16" s="73"/>
    </row>
    <row r="17" spans="1:19" ht="13.8" thickBot="1" x14ac:dyDescent="0.3">
      <c r="A17" s="100" t="s">
        <v>7</v>
      </c>
      <c r="B17" s="151"/>
      <c r="C17" s="98"/>
      <c r="D17" s="99"/>
      <c r="H17" s="73"/>
      <c r="I17" s="73"/>
      <c r="K17" s="100"/>
      <c r="L17" s="97"/>
      <c r="M17" s="98"/>
      <c r="N17" s="99"/>
      <c r="O17" s="70"/>
      <c r="P17" s="70"/>
      <c r="Q17" s="70"/>
      <c r="R17" s="73"/>
      <c r="S17" s="73"/>
    </row>
    <row r="18" spans="1:19" ht="14.4" thickTop="1" thickBot="1" x14ac:dyDescent="0.3">
      <c r="A18" s="100" t="s">
        <v>3</v>
      </c>
      <c r="B18" s="151"/>
      <c r="C18" s="101">
        <f>((2.71828183^(-C5*(2.71828183^(-C6*C13)-2.71828183^(-C6*C11))))*100)</f>
        <v>41.406623349631751</v>
      </c>
      <c r="D18" s="102">
        <f>((2.71828183^(-D5*(2.71828183^(-D6*C13)-2.71828183^(-D6*C11))))*100)</f>
        <v>56.050060186433626</v>
      </c>
      <c r="H18" s="73"/>
      <c r="I18" s="73"/>
      <c r="K18" s="100"/>
      <c r="L18" s="97"/>
      <c r="M18" s="101">
        <f>((2.71828183^(-M5*(2.71828183^(-M6*M13)-2.71828183^(-M6*M11))))*100)</f>
        <v>97.525397213925544</v>
      </c>
      <c r="N18" s="102">
        <f>((2.71828183^(-N5*(2.71828183^(-N6*M13)-2.71828183^(-N6*M11))))*100)</f>
        <v>98.829543421516689</v>
      </c>
      <c r="O18" s="103" t="s">
        <v>24</v>
      </c>
      <c r="P18" s="104" t="s">
        <v>22</v>
      </c>
      <c r="Q18" s="105" t="s">
        <v>23</v>
      </c>
      <c r="R18" s="73"/>
      <c r="S18" s="73"/>
    </row>
    <row r="19" spans="1:19" ht="18.600000000000001" thickTop="1" thickBot="1" x14ac:dyDescent="0.35">
      <c r="A19" s="100" t="s">
        <v>34</v>
      </c>
      <c r="B19" s="151"/>
      <c r="C19" s="106">
        <f>ROUND(C18,2)</f>
        <v>41.41</v>
      </c>
      <c r="D19" s="72">
        <f>ROUND(D18,2)</f>
        <v>56.05</v>
      </c>
      <c r="H19" s="73"/>
      <c r="I19" s="73"/>
      <c r="K19" s="100" t="s">
        <v>46</v>
      </c>
      <c r="L19" s="97"/>
      <c r="M19" s="106">
        <f>ROUND(((LN(((LN(M13*0.01))/-M5)+2.71828183^(-M6*M11)))/-M6),2)</f>
        <v>80</v>
      </c>
      <c r="N19" s="72">
        <f>ROUND(((LN(((LN(N13*0.01))/-N5)+2.71828183^(-N6*N11)))/-N6),2)</f>
        <v>80</v>
      </c>
      <c r="O19" s="107" t="s">
        <v>25</v>
      </c>
      <c r="P19" s="71">
        <f>IF(M19=0,M9,ROUND(((((2.71828183^(LN(2.71828183*Q3)-Q4*2.71828183^(-Q5*M19)))))),2))</f>
        <v>8.7799999999999994</v>
      </c>
      <c r="Q19" s="108">
        <f>IF(N19=0,N9,ROUND(((((2.71828183^(LN(2.71828183*Q23)-Q24*2.71828183^(-Q25*N19)))))),2))</f>
        <v>10.220000000000001</v>
      </c>
      <c r="R19" s="73"/>
      <c r="S19" s="73"/>
    </row>
    <row r="20" spans="1:19" ht="13.8" thickTop="1" x14ac:dyDescent="0.25">
      <c r="A20" s="26"/>
      <c r="B20" s="23"/>
      <c r="C20" s="35"/>
      <c r="D20" s="36"/>
      <c r="H20" s="73"/>
      <c r="I20" s="73"/>
      <c r="K20" s="26"/>
      <c r="L20" s="8"/>
      <c r="M20" s="35"/>
      <c r="N20" s="36"/>
      <c r="O20" s="70"/>
      <c r="P20" s="109"/>
      <c r="Q20" s="109"/>
      <c r="R20" s="73"/>
      <c r="S20" s="73"/>
    </row>
    <row r="21" spans="1:19" x14ac:dyDescent="0.25">
      <c r="A21" s="112" t="s">
        <v>4</v>
      </c>
      <c r="B21" s="197"/>
      <c r="C21" s="111"/>
      <c r="D21" s="36"/>
      <c r="H21" s="73"/>
      <c r="I21" s="73"/>
      <c r="K21" s="112"/>
      <c r="L21" s="110"/>
      <c r="M21" s="111"/>
      <c r="N21" s="36"/>
      <c r="O21" s="70"/>
      <c r="P21" s="70"/>
      <c r="Q21" s="27"/>
      <c r="R21" s="73"/>
      <c r="S21" s="73"/>
    </row>
    <row r="22" spans="1:19" x14ac:dyDescent="0.25">
      <c r="A22" s="112" t="s">
        <v>5</v>
      </c>
      <c r="B22" s="197"/>
      <c r="C22" s="113">
        <f>((2.71828183^(-C5*(2.71828183^(-C6*(C11+1))-2.71828183^(-C6*(C11-0)))))*100)</f>
        <v>99.994478310545034</v>
      </c>
      <c r="D22" s="102">
        <f>((2.71828183^(-D5*(2.71828183^(-D6*(C11+1))-2.71828183^(-D6*(C11-0)))))*100)</f>
        <v>99.9980325671646</v>
      </c>
      <c r="E22" s="7" t="s">
        <v>64</v>
      </c>
      <c r="F22" s="8"/>
      <c r="G22" s="9">
        <f>(D13-D12)</f>
        <v>20</v>
      </c>
      <c r="H22" s="10">
        <f>(-D5*D6)*2.71828183^((-D6*(D12+0*G22))-D5*2.71828183^(-D6*(D12+0*G22)))</f>
        <v>7.2133665937416302E-3</v>
      </c>
      <c r="I22" s="10">
        <f>(D12+0*G22)</f>
        <v>60</v>
      </c>
      <c r="K22" s="112"/>
      <c r="L22" s="110"/>
      <c r="M22" s="113">
        <f>((2.71828183^(-M5*(2.71828183^(-M6*(M11+1))-2.71828183^(-M6*(M11-0)))))*100)</f>
        <v>99.994478310545034</v>
      </c>
      <c r="N22" s="102">
        <f>((2.71828183^(-N5*(2.71828183^(-N6*(M11+1))-2.71828183^(-N6*(M11-0)))))*100)</f>
        <v>99.9980325671646</v>
      </c>
      <c r="O22" s="7" t="s">
        <v>64</v>
      </c>
      <c r="P22" s="8"/>
      <c r="Q22" s="9">
        <f>(N19-N33)</f>
        <v>20</v>
      </c>
      <c r="R22" s="10">
        <f>(-N5*N6)*2.71828183^((-N6*(N33+0*Q22))-N5*2.71828183^(-N6*(N33+0*Q22)))</f>
        <v>7.2133665937416302E-3</v>
      </c>
      <c r="S22" s="10">
        <f>(N33+0*Q22)</f>
        <v>60</v>
      </c>
    </row>
    <row r="23" spans="1:19" ht="17.399999999999999" x14ac:dyDescent="0.3">
      <c r="A23" s="112" t="s">
        <v>35</v>
      </c>
      <c r="B23" s="197"/>
      <c r="C23" s="114">
        <f>ROUND(C22,3)</f>
        <v>99.994</v>
      </c>
      <c r="D23" s="115">
        <f>ROUND(D22,3)</f>
        <v>99.998000000000005</v>
      </c>
      <c r="E23" s="14" t="s">
        <v>27</v>
      </c>
      <c r="F23" s="14"/>
      <c r="G23" s="15">
        <v>42.409100000000002</v>
      </c>
      <c r="H23" s="10">
        <f>(-D5*D6)*2.71828183^((-D6*(D12+0.1*G22))-D5*2.71828183^(-D6*(D12+0.1*G22)))</f>
        <v>8.669007416916872E-3</v>
      </c>
      <c r="I23" s="10">
        <f>(D12+0.1*G22)</f>
        <v>62</v>
      </c>
      <c r="K23" s="112" t="s">
        <v>47</v>
      </c>
      <c r="L23" s="110"/>
      <c r="M23" s="114">
        <f>ROUND(M22,3)</f>
        <v>99.994</v>
      </c>
      <c r="N23" s="115">
        <f>ROUND(N22,3)</f>
        <v>99.998000000000005</v>
      </c>
      <c r="O23" s="14" t="s">
        <v>27</v>
      </c>
      <c r="P23" s="14"/>
      <c r="Q23" s="15">
        <f t="shared" ref="Q23:Q25" si="2">G23</f>
        <v>42.409100000000002</v>
      </c>
      <c r="R23" s="10">
        <f>(-N5*N6)*2.71828183^((-N6*(N33+0.1*Q22))-N5*2.71828183^(-N6*(N33+0.1*Q22)))</f>
        <v>8.669007416916872E-3</v>
      </c>
      <c r="S23" s="10">
        <f>(N33+0.1*Q22)</f>
        <v>62</v>
      </c>
    </row>
    <row r="24" spans="1:19" x14ac:dyDescent="0.25">
      <c r="A24" s="116" t="s">
        <v>36</v>
      </c>
      <c r="B24" s="198"/>
      <c r="C24" s="35"/>
      <c r="D24" s="36"/>
      <c r="E24" s="15" t="s">
        <v>61</v>
      </c>
      <c r="F24" s="20" t="s">
        <v>29</v>
      </c>
      <c r="G24" s="15">
        <v>0.33937260000000002</v>
      </c>
      <c r="H24" s="10">
        <f>(-D5*D6)*2.71828183^((-D6*(D12+0.2*G22))-D5*2.71828183^(-D6*(D12+0.2*G22)))</f>
        <v>1.0378400632652695E-2</v>
      </c>
      <c r="I24" s="10">
        <f>(D12+0.2*G22)</f>
        <v>64</v>
      </c>
      <c r="K24" s="116" t="s">
        <v>36</v>
      </c>
      <c r="L24" s="117"/>
      <c r="M24" s="35"/>
      <c r="N24" s="36"/>
      <c r="O24" s="15" t="s">
        <v>61</v>
      </c>
      <c r="P24" s="20" t="s">
        <v>29</v>
      </c>
      <c r="Q24" s="15">
        <f t="shared" si="2"/>
        <v>0.33937260000000002</v>
      </c>
      <c r="R24" s="10">
        <f>(-N5*N6)*2.71828183^((-N6*(N33+0.2*Q22))-N5*2.71828183^(-N6*(N33+0.2*Q22)))</f>
        <v>1.0378400632652695E-2</v>
      </c>
      <c r="S24" s="10">
        <f>(N33+0.2*Q22)</f>
        <v>64</v>
      </c>
    </row>
    <row r="25" spans="1:19" x14ac:dyDescent="0.25">
      <c r="A25" s="26"/>
      <c r="B25" s="23"/>
      <c r="C25" s="113">
        <f>(2.71828183^(-C5*((2.71828183^(-C6*C14))-(2.71828183^(-C6*C13)))))</f>
        <v>0.26580039434232522</v>
      </c>
      <c r="D25" s="102">
        <f>(2.71828183^(-D5*((2.71828183^(-D6*C14))-(2.71828183^(-D6*C13)))))</f>
        <v>0.36653959847676182</v>
      </c>
      <c r="E25" s="15" t="s">
        <v>62</v>
      </c>
      <c r="F25" s="15" t="s">
        <v>28</v>
      </c>
      <c r="G25" s="15">
        <v>-2.457026E-2</v>
      </c>
      <c r="H25" s="10">
        <f>(-D5*D6)*2.71828183^((-D6*(D12+0.3*G22))-D5*2.71828183^(-D6*(D12+0.3*G22)))</f>
        <v>1.2366566753861835E-2</v>
      </c>
      <c r="I25" s="10">
        <f>(D12+0.3*G22)</f>
        <v>66</v>
      </c>
      <c r="K25" s="26"/>
      <c r="L25" s="8"/>
      <c r="M25" s="113">
        <f>(2.71828183^(-M5*((2.71828183^(-M6*M14))-(2.71828183^(-M6*M13)))))</f>
        <v>1.019235548473802</v>
      </c>
      <c r="N25" s="102">
        <f>(2.71828183^(-N5*((2.71828183^(-N6*M14))-(2.71828183^(-N6*M13)))))</f>
        <v>1.0093101563478473</v>
      </c>
      <c r="O25" s="15" t="s">
        <v>62</v>
      </c>
      <c r="P25" s="15" t="s">
        <v>28</v>
      </c>
      <c r="Q25" s="15">
        <f t="shared" si="2"/>
        <v>-2.457026E-2</v>
      </c>
      <c r="R25" s="10">
        <f>(-N5*N6)*2.71828183^((-N6*(N33+0.3*Q22))-N5*2.71828183^(-N6*(N33+0.3*Q22)))</f>
        <v>1.2366566753861835E-2</v>
      </c>
      <c r="S25" s="10">
        <f>(N33+0.3*Q22)</f>
        <v>66</v>
      </c>
    </row>
    <row r="26" spans="1:19" x14ac:dyDescent="0.25">
      <c r="A26" s="119" t="s">
        <v>7</v>
      </c>
      <c r="B26" s="23"/>
      <c r="C26" s="113">
        <f>(2.71828183^(-C5*(2.71828183^(-C6*C12)-1)))</f>
        <v>0.86901480841252776</v>
      </c>
      <c r="D26" s="102">
        <f>(2.71828183^(-D5*(2.71828183^(-D6*C12)-1)))</f>
        <v>0.92557378512104271</v>
      </c>
      <c r="E26" s="27"/>
      <c r="F26" s="28"/>
      <c r="G26" s="28"/>
      <c r="H26" s="10">
        <f>(-D5*D6)*2.71828183^((-D6*(D12+0.4*G22))-D5*2.71828183^(-D6*(D12+0.4*G22)))</f>
        <v>1.4651113301817934E-2</v>
      </c>
      <c r="I26" s="10">
        <f>(D12+0.4*G22)</f>
        <v>68</v>
      </c>
      <c r="K26" s="119"/>
      <c r="L26" s="8"/>
      <c r="M26" s="113">
        <f>(2.71828183^(-M5*(2.71828183^(-M6*M12)-1)))</f>
        <v>0.49130569555281489</v>
      </c>
      <c r="N26" s="102">
        <f>(2.71828183^(-N5*(2.71828183^(-N6*M12)-1)))</f>
        <v>0.63314343677527807</v>
      </c>
      <c r="O26" s="27"/>
      <c r="P26" s="28"/>
      <c r="Q26" s="28"/>
      <c r="R26" s="10">
        <f>(-N5*N6)*2.71828183^((-N6*(N33+0.4*Q22))-N5*2.71828183^(-N6*(N33+0.4*Q22)))</f>
        <v>1.4651113301817934E-2</v>
      </c>
      <c r="S26" s="10">
        <f>(N33+0.4*Q22)</f>
        <v>68</v>
      </c>
    </row>
    <row r="27" spans="1:19" ht="13.8" thickBot="1" x14ac:dyDescent="0.3">
      <c r="A27" s="119" t="s">
        <v>37</v>
      </c>
      <c r="B27" s="199"/>
      <c r="C27" s="113">
        <f>(2.71828183^(-C5*(2.71828183^(-C6*C13)-1)))</f>
        <v>0.41406623349631749</v>
      </c>
      <c r="D27" s="102">
        <f>(2.71828183^(-D5*(2.71828183^(-D6*C13)-1)))</f>
        <v>0.56050060186433626</v>
      </c>
      <c r="E27" s="27"/>
      <c r="F27" s="28"/>
      <c r="G27" s="28"/>
      <c r="H27" s="10">
        <f>(-D5*D6)*2.71828183^((-D6*(D12+0.5*G22))-D5*2.71828183^(-D6*(D12+0.5*G22)))</f>
        <v>1.7236086482877548E-2</v>
      </c>
      <c r="I27" s="10">
        <f>(D12+0.5*G22)</f>
        <v>70</v>
      </c>
      <c r="K27" s="119"/>
      <c r="L27" s="120"/>
      <c r="M27" s="113">
        <f>(2.71828183^(-M5*(2.71828183^(-M6*M13)-1)))</f>
        <v>0.97525397213925547</v>
      </c>
      <c r="N27" s="102">
        <f>(2.71828183^(-N5*(2.71828183^(-N6*M13)-1)))</f>
        <v>0.98829543421516686</v>
      </c>
      <c r="O27" s="70"/>
      <c r="P27" s="70"/>
      <c r="Q27" s="27"/>
      <c r="R27" s="10">
        <f>(-N5*N6)*2.71828183^((-N6*(N33+0.5*Q22))-N5*2.71828183^(-N6*(N33+0.5*Q22)))</f>
        <v>1.7236086482877548E-2</v>
      </c>
      <c r="S27" s="10">
        <f>(N33+0.5*Q22)</f>
        <v>70</v>
      </c>
    </row>
    <row r="28" spans="1:19" ht="14.4" thickTop="1" thickBot="1" x14ac:dyDescent="0.3">
      <c r="A28" s="119" t="s">
        <v>38</v>
      </c>
      <c r="B28" s="199"/>
      <c r="C28" s="113">
        <f>(2.71828183^(-C5*(2.71828183^(-C6*C11)-1)))</f>
        <v>1</v>
      </c>
      <c r="D28" s="102">
        <f>(2.71828183^(-D5*(2.71828183^(-D6*C11)-1)))</f>
        <v>1</v>
      </c>
      <c r="E28" s="70"/>
      <c r="F28" s="70"/>
      <c r="G28" s="27"/>
      <c r="H28" s="10">
        <f>(-D5*D6)*2.71828183^((-D6*(D12+0.6*G22))-D5*2.71828183^(-D6*(D12+0.6*G22)))</f>
        <v>2.0103569004823706E-2</v>
      </c>
      <c r="I28" s="10">
        <f>(D12+0.6*G22)</f>
        <v>72</v>
      </c>
      <c r="K28" s="119"/>
      <c r="L28" s="120"/>
      <c r="M28" s="113">
        <f>(2.71828183^(-M5*(2.71828183^(-M6*M11)-1)))</f>
        <v>1</v>
      </c>
      <c r="N28" s="102">
        <f>(2.71828183^(-N5*(2.71828183^(-N6*M11)-1)))</f>
        <v>1</v>
      </c>
      <c r="O28" s="103" t="s">
        <v>24</v>
      </c>
      <c r="P28" s="104" t="s">
        <v>22</v>
      </c>
      <c r="Q28" s="105" t="s">
        <v>23</v>
      </c>
      <c r="R28" s="10">
        <f>(-N5*N6)*2.71828183^((-N6*(N33+0.6*Q22))-N5*2.71828183^(-N6*(N33+0.6*Q22)))</f>
        <v>2.0103569004823706E-2</v>
      </c>
      <c r="S28" s="10">
        <f>(N33+0.6*Q22)</f>
        <v>72</v>
      </c>
    </row>
    <row r="29" spans="1:19" ht="18.600000000000001" thickTop="1" thickBot="1" x14ac:dyDescent="0.35">
      <c r="A29" s="119" t="s">
        <v>39</v>
      </c>
      <c r="B29" s="199"/>
      <c r="C29" s="121">
        <f>ROUND((C25*100),2)</f>
        <v>26.58</v>
      </c>
      <c r="D29" s="122">
        <f>ROUND((D25*100),2)</f>
        <v>36.65</v>
      </c>
      <c r="E29" s="70"/>
      <c r="F29" s="70"/>
      <c r="G29" s="27"/>
      <c r="H29" s="10">
        <f>(-D5*D6)*2.71828183^((-D6*(D12+0.7*G22))-D5*2.71828183^(-D6*(D12+0.7*G22)))</f>
        <v>2.3202915411589357E-2</v>
      </c>
      <c r="I29" s="10">
        <f>(D12+0.7*G22)</f>
        <v>74</v>
      </c>
      <c r="K29" s="119" t="s">
        <v>48</v>
      </c>
      <c r="L29" s="120"/>
      <c r="M29" s="121">
        <f>ROUND(((LN((LN(0.01*M14)/-M5)+2.71828183^(-M6*M19))/-M6)),2)</f>
        <v>90</v>
      </c>
      <c r="N29" s="122">
        <f>ROUND(((LN((LN(0.01*N14)/-N5)+2.71828183^(-N6*N19))/-N6)),2)</f>
        <v>90</v>
      </c>
      <c r="O29" s="107" t="s">
        <v>25</v>
      </c>
      <c r="P29" s="80">
        <f>IF(M29=0,M9,ROUND(((((2.71828183^(LN(2.71828183*Q3)-Q4*2.71828183^(-Q5*M29)))))),2))</f>
        <v>4.58</v>
      </c>
      <c r="Q29" s="123">
        <f>IF(N29=0,N9,ROUND(((((2.71828183^(LN(2.71828183*Q23)-Q24*2.71828183^(-Q25*N29)))))),2))</f>
        <v>5.21</v>
      </c>
      <c r="R29" s="10">
        <f>(-N5*N6)*2.71828183^((-N6*(N33+0.7*Q22))-N5*2.71828183^(-N6*(N33+0.7*Q22)))</f>
        <v>2.3202915411589357E-2</v>
      </c>
      <c r="S29" s="10">
        <f>(N33+0.7*Q22)</f>
        <v>74</v>
      </c>
    </row>
    <row r="30" spans="1:19" ht="13.8" thickTop="1" x14ac:dyDescent="0.25">
      <c r="A30" s="26"/>
      <c r="B30" s="23"/>
      <c r="C30" s="113">
        <f>((C26-C27)/(C28-C27))</f>
        <v>0.77645051527057019</v>
      </c>
      <c r="D30" s="102">
        <f>((D26-D27)/(D28-D27))</f>
        <v>0.83065684459485067</v>
      </c>
      <c r="E30" s="70"/>
      <c r="F30" s="70"/>
      <c r="G30" s="27"/>
      <c r="H30" s="10">
        <f>(-D5*D6)*2.71828183^((-D6*(D12+0.8*G22))-D5*2.71828183^(-D6*(D12+0.8*G22)))</f>
        <v>2.643808852348041E-2</v>
      </c>
      <c r="I30" s="10">
        <f>(D12+0.8*G22)</f>
        <v>76</v>
      </c>
      <c r="K30" s="26"/>
      <c r="L30" s="8"/>
      <c r="M30" s="113">
        <f>((M26-M27)/(M28-M27))</f>
        <v>-19.556604369388275</v>
      </c>
      <c r="N30" s="102">
        <f>((N26-N27)/(N28-N27))</f>
        <v>-30.343030571889919</v>
      </c>
      <c r="O30" s="70"/>
      <c r="P30" s="109"/>
      <c r="Q30" s="109"/>
      <c r="R30" s="10">
        <f>(-N5*N6)*2.71828183^((-N6*(N33+0.8*Q22))-N5*2.71828183^(-N6*(N33+0.8*Q22)))</f>
        <v>2.643808852348041E-2</v>
      </c>
      <c r="S30" s="10">
        <f>(N33+0.8*Q22)</f>
        <v>76</v>
      </c>
    </row>
    <row r="31" spans="1:19" ht="13.8" thickBot="1" x14ac:dyDescent="0.3">
      <c r="A31" s="125" t="s">
        <v>7</v>
      </c>
      <c r="B31" s="200"/>
      <c r="C31" s="113"/>
      <c r="D31" s="102"/>
      <c r="E31" s="70"/>
      <c r="F31" s="70"/>
      <c r="G31" s="27"/>
      <c r="H31" s="10">
        <f>(-D5*D6)*2.71828183^((-D6*(D12+0.9*G22))-D5*2.71828183^(-D6*(D12+0.9*G22)))</f>
        <v>2.9654622170226758E-2</v>
      </c>
      <c r="I31" s="10">
        <f>(D12+0.9*G22)</f>
        <v>78</v>
      </c>
      <c r="K31" s="125"/>
      <c r="L31" s="124"/>
      <c r="M31" s="113"/>
      <c r="N31" s="102"/>
      <c r="O31" s="70"/>
      <c r="P31" s="70"/>
      <c r="Q31" s="27"/>
      <c r="R31" s="10">
        <f>(-N5*N6)*2.71828183^((-N6*(N33+0.9*Q22))-N5*2.71828183^(-N6*(N33+0.9*Q22)))</f>
        <v>2.9654622170226758E-2</v>
      </c>
      <c r="S31" s="10">
        <f>(N33+0.9*Q22)</f>
        <v>78</v>
      </c>
    </row>
    <row r="32" spans="1:19" ht="14.4" thickTop="1" thickBot="1" x14ac:dyDescent="0.3">
      <c r="A32" s="125" t="s">
        <v>37</v>
      </c>
      <c r="B32" s="200"/>
      <c r="C32" s="35"/>
      <c r="D32" s="36"/>
      <c r="E32" s="70"/>
      <c r="F32" s="70"/>
      <c r="G32" s="27"/>
      <c r="H32" s="10">
        <f>(-D5*D6)*2.71828183^((-D6*(D12+1*G22))-D5*2.71828183^(-D6*(D12+1*G22)))</f>
        <v>3.2629424727319944E-2</v>
      </c>
      <c r="I32" s="10">
        <f>(D12+1*G22)</f>
        <v>80</v>
      </c>
      <c r="K32" s="125"/>
      <c r="L32" s="124"/>
      <c r="M32" s="35"/>
      <c r="N32" s="36"/>
      <c r="O32" s="103" t="s">
        <v>24</v>
      </c>
      <c r="P32" s="104" t="s">
        <v>22</v>
      </c>
      <c r="Q32" s="105" t="s">
        <v>23</v>
      </c>
      <c r="R32" s="10">
        <f>(-N5*N6)*2.71828183^((-N6*(N33+1*Q22))-N5*2.71828183^(-N6*(N33+1*Q22)))</f>
        <v>3.2629424727319944E-2</v>
      </c>
      <c r="S32" s="10">
        <f>(N33+1*Q22)</f>
        <v>80</v>
      </c>
    </row>
    <row r="33" spans="1:19" ht="18.600000000000001" thickTop="1" thickBot="1" x14ac:dyDescent="0.35">
      <c r="A33" s="125" t="s">
        <v>40</v>
      </c>
      <c r="B33" s="126"/>
      <c r="C33" s="127">
        <f>ROUND((100*C30),2)</f>
        <v>77.650000000000006</v>
      </c>
      <c r="D33" s="63">
        <f>ROUND((100*D30),2)</f>
        <v>83.07</v>
      </c>
      <c r="E33" s="70"/>
      <c r="F33" s="70"/>
      <c r="G33" s="27"/>
      <c r="H33" s="73"/>
      <c r="I33" s="73"/>
      <c r="K33" s="125" t="s">
        <v>49</v>
      </c>
      <c r="L33" s="126"/>
      <c r="M33" s="128">
        <f>ROUND(((LN((LN((M48-M47)*0.01*M12+M47))/-M5+1))/-M6),2)</f>
        <v>60</v>
      </c>
      <c r="N33" s="63">
        <f>ROUND(((LN((LN((N48-N47)*0.01*N12+N47))/-N5+1))/-N6),2)</f>
        <v>60</v>
      </c>
      <c r="O33" s="129" t="s">
        <v>30</v>
      </c>
      <c r="P33" s="62">
        <f>IF(M33=0,M9,ROUND(((R2*S2)+(R3*S3)+(R4*S4)+(R5*S5)+(R6*S6)+(R7*S7)+(R8*S8)+(R9*S9)+(R10*S10)+(R11*S11)+(R12*S12))/SUM(R2:R12)-M33,2))</f>
        <v>12.08</v>
      </c>
      <c r="Q33" s="62">
        <f>IF(N33=0,N9,ROUND(((R22*S22)+(R23*S23)+(R24*S24)+(R25*S25)+(R26*S26)+(R27*S27)+(R28*S28)+(R29*S29)+(R30*S30)+(R31*S31)+(R32*S32))/SUM(R22:R32)-N33,2))</f>
        <v>12.83</v>
      </c>
      <c r="R33" s="130"/>
      <c r="S33" s="73"/>
    </row>
    <row r="34" spans="1:19" ht="14.4" thickTop="1" thickBot="1" x14ac:dyDescent="0.3">
      <c r="A34" s="201" t="s">
        <v>41</v>
      </c>
      <c r="B34" s="38"/>
      <c r="C34" s="132"/>
      <c r="D34" s="133"/>
      <c r="E34" s="70"/>
      <c r="F34" s="70"/>
      <c r="G34" s="27"/>
      <c r="K34" s="125"/>
      <c r="L34" s="30"/>
      <c r="M34" s="132"/>
      <c r="N34" s="133"/>
      <c r="O34" s="70"/>
      <c r="P34" s="109"/>
      <c r="Q34" s="109"/>
      <c r="R34" s="73"/>
      <c r="S34" s="73"/>
    </row>
    <row r="35" spans="1:19" ht="13.8" thickTop="1" x14ac:dyDescent="0.25">
      <c r="A35" s="139" t="s">
        <v>17</v>
      </c>
      <c r="B35" s="135"/>
      <c r="C35" s="136"/>
      <c r="D35" s="137"/>
      <c r="E35" s="138"/>
      <c r="F35" s="70"/>
      <c r="G35" s="27"/>
      <c r="K35" s="139" t="s">
        <v>17</v>
      </c>
      <c r="L35" s="135"/>
      <c r="M35" s="136"/>
      <c r="N35" s="137"/>
      <c r="O35" s="138"/>
      <c r="P35" s="70"/>
      <c r="Q35" s="70"/>
      <c r="R35" s="73"/>
      <c r="S35" s="73"/>
    </row>
    <row r="36" spans="1:19" ht="17.399999999999999" x14ac:dyDescent="0.3">
      <c r="A36" s="141" t="s">
        <v>15</v>
      </c>
      <c r="B36" s="140"/>
      <c r="C36" s="190">
        <v>41.41</v>
      </c>
      <c r="D36" s="54">
        <f>(C36)</f>
        <v>41.41</v>
      </c>
      <c r="E36" s="75"/>
      <c r="F36" s="70"/>
      <c r="G36" s="27"/>
      <c r="K36" s="141" t="s">
        <v>15</v>
      </c>
      <c r="L36" s="140"/>
      <c r="M36" s="190">
        <v>41.41</v>
      </c>
      <c r="N36" s="191">
        <v>41.41</v>
      </c>
      <c r="O36" s="75"/>
      <c r="P36" s="70"/>
      <c r="Q36" s="142"/>
    </row>
    <row r="37" spans="1:19" ht="18" thickBot="1" x14ac:dyDescent="0.35">
      <c r="A37" s="146" t="s">
        <v>14</v>
      </c>
      <c r="B37" s="53"/>
      <c r="C37" s="182">
        <v>0</v>
      </c>
      <c r="D37" s="145">
        <f>(C37)</f>
        <v>0</v>
      </c>
      <c r="E37" s="70"/>
      <c r="F37" s="70"/>
      <c r="G37" s="27"/>
      <c r="K37" s="146" t="s">
        <v>14</v>
      </c>
      <c r="L37" s="144"/>
      <c r="M37" s="182">
        <v>0</v>
      </c>
      <c r="N37" s="183">
        <v>0</v>
      </c>
      <c r="O37" s="70"/>
      <c r="P37" s="70"/>
      <c r="Q37" s="27"/>
    </row>
    <row r="38" spans="1:19" ht="14.4" thickTop="1" thickBot="1" x14ac:dyDescent="0.3">
      <c r="A38" s="150"/>
      <c r="B38" s="147"/>
      <c r="C38" s="148">
        <f>((LN(((LN(C36*0.01))/-C5)+2.71828183^(-C6*C37)))/-C6)</f>
        <v>79.998992114393118</v>
      </c>
      <c r="D38" s="149">
        <f>((LN(((LN(C36*0.01))/-D5)+2.71828183^(-D6*D37)))/-D6)</f>
        <v>84.182379836920703</v>
      </c>
      <c r="E38" s="103" t="s">
        <v>24</v>
      </c>
      <c r="F38" s="104" t="s">
        <v>22</v>
      </c>
      <c r="G38" s="105" t="s">
        <v>23</v>
      </c>
      <c r="K38" s="150"/>
      <c r="L38" s="147"/>
      <c r="M38" s="148">
        <f>((LN(((LN(M36*0.01))/-M5)+2.71828183^(-M6*M37)))/-M6)</f>
        <v>79.998992114393118</v>
      </c>
      <c r="N38" s="149">
        <f>((LN(((LN(N36*0.01))/-N5)+2.71828183^(-N6*N37)))/-N6)</f>
        <v>84.182379836920703</v>
      </c>
      <c r="O38" s="103" t="s">
        <v>24</v>
      </c>
      <c r="P38" s="104" t="s">
        <v>22</v>
      </c>
      <c r="Q38" s="105" t="s">
        <v>23</v>
      </c>
    </row>
    <row r="39" spans="1:19" ht="18" thickTop="1" x14ac:dyDescent="0.3">
      <c r="A39" s="100" t="s">
        <v>16</v>
      </c>
      <c r="B39" s="152"/>
      <c r="C39" s="106">
        <f>ROUND(C38,2)</f>
        <v>80</v>
      </c>
      <c r="D39" s="72">
        <f>ROUND(D38,2)</f>
        <v>84.18</v>
      </c>
      <c r="E39" s="55" t="s">
        <v>25</v>
      </c>
      <c r="F39" s="71">
        <f>IF(C39=0,C9,ROUND(((((2.71828183^(LN(2.71828183*G3)-G4*2.71828183^(-G5*C39)))))),2))</f>
        <v>8.7799999999999994</v>
      </c>
      <c r="G39" s="108">
        <f>IF(D39=0,D9,ROUND(((((2.71828183^(LN(2.71828183*G23)-G24*2.71828183^(-G25*D39)))))),2))</f>
        <v>7.86</v>
      </c>
      <c r="K39" s="100" t="s">
        <v>16</v>
      </c>
      <c r="L39" s="152"/>
      <c r="M39" s="106">
        <f>ROUND(M38,2)</f>
        <v>80</v>
      </c>
      <c r="N39" s="72">
        <f>ROUND(N38,2)</f>
        <v>84.18</v>
      </c>
      <c r="O39" s="55" t="s">
        <v>25</v>
      </c>
      <c r="P39" s="71">
        <f>IF(M39=0,M9,ROUND(((((2.71828183^(LN(2.71828183*Q3)-Q4*2.71828183^(-Q5*M39)))))),2))</f>
        <v>8.7799999999999994</v>
      </c>
      <c r="Q39" s="108">
        <f>IF(N39=0,N9,ROUND(((((2.71828183^(LN(2.71828183*Q23)-Q24*2.71828183^(-Q25*N39)))))),2))</f>
        <v>7.86</v>
      </c>
    </row>
    <row r="40" spans="1:19" ht="13.8" thickBot="1" x14ac:dyDescent="0.3">
      <c r="A40" s="157" t="s">
        <v>12</v>
      </c>
      <c r="B40" s="153"/>
      <c r="C40" s="154"/>
      <c r="D40" s="155"/>
      <c r="F40" s="55"/>
      <c r="G40" s="156"/>
      <c r="K40" s="157" t="s">
        <v>12</v>
      </c>
      <c r="L40" s="153"/>
      <c r="M40" s="154"/>
      <c r="N40" s="155"/>
      <c r="O40" s="202"/>
      <c r="P40" s="55"/>
      <c r="Q40" s="156"/>
      <c r="R40" s="202"/>
    </row>
    <row r="41" spans="1:19" ht="14.4" thickTop="1" thickBot="1" x14ac:dyDescent="0.3">
      <c r="A41" s="164" t="s">
        <v>13</v>
      </c>
      <c r="B41" s="203"/>
      <c r="C41" s="203"/>
      <c r="D41" s="204"/>
      <c r="E41" s="161"/>
      <c r="F41" s="162"/>
      <c r="G41" s="163"/>
      <c r="K41" s="164" t="s">
        <v>13</v>
      </c>
      <c r="L41" s="85"/>
      <c r="M41" s="85"/>
      <c r="N41" s="85"/>
      <c r="O41" s="161"/>
      <c r="P41" s="162"/>
      <c r="Q41" s="163"/>
    </row>
    <row r="42" spans="1:19" ht="13.8" thickTop="1" x14ac:dyDescent="0.25">
      <c r="K42" s="87"/>
      <c r="L42" s="87"/>
      <c r="M42" s="87"/>
      <c r="N42" s="87"/>
      <c r="O42" s="55"/>
      <c r="P42" s="55"/>
      <c r="Q42" s="55"/>
    </row>
    <row r="43" spans="1:19" x14ac:dyDescent="0.25">
      <c r="K43" s="90"/>
      <c r="L43" s="90"/>
      <c r="M43" s="90"/>
      <c r="N43" s="90"/>
      <c r="O43" s="90"/>
      <c r="P43" s="27"/>
      <c r="Q43" s="27"/>
    </row>
    <row r="44" spans="1:19" x14ac:dyDescent="0.25">
      <c r="K44" s="167"/>
      <c r="L44" s="167"/>
      <c r="M44" s="167"/>
      <c r="N44" s="167"/>
      <c r="O44" s="167"/>
      <c r="P44" s="27"/>
      <c r="Q44" s="27"/>
    </row>
    <row r="45" spans="1:19" x14ac:dyDescent="0.25">
      <c r="K45" s="168"/>
      <c r="L45" s="168"/>
      <c r="M45" s="205"/>
      <c r="N45" s="205"/>
      <c r="O45" s="168"/>
    </row>
    <row r="46" spans="1:19" x14ac:dyDescent="0.25">
      <c r="K46" s="70"/>
      <c r="L46" s="70"/>
      <c r="M46" s="173" t="s">
        <v>26</v>
      </c>
      <c r="N46" s="173"/>
      <c r="O46" s="70"/>
    </row>
    <row r="47" spans="1:19" x14ac:dyDescent="0.25">
      <c r="K47" s="174"/>
      <c r="L47" s="174"/>
      <c r="M47" s="175">
        <f>(2.71828183^(-M5*(2.71828183^(-M6*M19)-1)))</f>
        <v>0.41406623349631749</v>
      </c>
      <c r="N47" s="175">
        <f>(2.71828183^(-N5*(2.71828183^(-N6*N19)-1)))</f>
        <v>0.56050060186433626</v>
      </c>
      <c r="P47" s="70"/>
      <c r="Q47" s="70"/>
    </row>
    <row r="48" spans="1:19" x14ac:dyDescent="0.25">
      <c r="K48" s="174"/>
      <c r="L48" s="174"/>
      <c r="M48" s="175">
        <f>(2.71828183^(-M5*(2.71828183^(-M6*M11)-1)))</f>
        <v>1</v>
      </c>
      <c r="N48" s="175">
        <f>(2.71828183^(-N5*(2.71828183^(-N6*N11)-1)))</f>
        <v>1</v>
      </c>
      <c r="P48" s="177"/>
      <c r="Q48" s="177"/>
    </row>
    <row r="49" spans="13:15" x14ac:dyDescent="0.25">
      <c r="M49" s="173"/>
      <c r="N49" s="175"/>
      <c r="O49" s="177"/>
    </row>
    <row r="50" spans="13:15" x14ac:dyDescent="0.25">
      <c r="N50" s="168"/>
      <c r="O50" s="168"/>
    </row>
  </sheetData>
  <sheetProtection algorithmName="SHA-512" hashValue="DUHe7Q/2+nIk12u09sMNLfD/tgNGfttVYLjE/sYAAsnIkLgtAeUuQ1auZ9fUZJ0vfPuIVnmf0W84fCPOwDSF2A==" saltValue="kzvnVrMB0bhwKBzZsUaecw==" spinCount="100000" sheet="1" objects="1" scenarios="1"/>
  <phoneticPr fontId="2" type="noConversion"/>
  <dataValidations count="3">
    <dataValidation type="decimal" allowBlank="1" showInputMessage="1" showErrorMessage="1" sqref="M11 N11 M12 N12 M13 N13 M14 N14 M36 N36 M37 N37 C11 C36 C37" xr:uid="{5C15381C-D98E-463A-AD4D-B3011CA89FAF}">
      <formula1>0</formula1>
      <formula2>100</formula2>
    </dataValidation>
    <dataValidation type="decimal" allowBlank="1" showInputMessage="1" showErrorMessage="1" sqref="C12" xr:uid="{4B4073A3-BCDC-4C7F-AB8A-D7780AECE15F}">
      <formula1>C11</formula1>
      <formula2>C13</formula2>
    </dataValidation>
    <dataValidation type="decimal" allowBlank="1" showInputMessage="1" showErrorMessage="1" sqref="C13 C15" xr:uid="{FC7C1E38-2314-4D81-9CDB-4E174C9DEE04}">
      <formula1>C11</formula1>
      <formula2>100</formula2>
    </dataValidation>
  </dataValidations>
  <pageMargins left="0.78740157499999996" right="0.78740157499999996" top="0.984251969" bottom="0.984251969" header="0.4921259845" footer="0.4921259845"/>
  <pageSetup paperSize="9" orientation="portrait" horizontalDpi="4294967293" verticalDpi="4294967293" r:id="rId1"/>
  <headerFooter alignWithMargins="0"/>
  <ignoredErrors>
    <ignoredError sqref="F12:G12"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50"/>
  <sheetViews>
    <sheetView zoomScale="70" workbookViewId="0">
      <selection activeCell="C15" sqref="C15"/>
    </sheetView>
  </sheetViews>
  <sheetFormatPr baseColWidth="10" defaultRowHeight="13.2" x14ac:dyDescent="0.25"/>
  <cols>
    <col min="1" max="1" width="11.5546875" style="2"/>
    <col min="2" max="2" width="13" style="2" customWidth="1"/>
    <col min="3" max="3" width="12.6640625" style="2" customWidth="1"/>
    <col min="4" max="4" width="15.109375" style="2" customWidth="1"/>
    <col min="5" max="5" width="15.88671875" style="2" customWidth="1"/>
    <col min="6" max="9" width="11.5546875" style="2"/>
    <col min="10" max="10" width="35.33203125" style="2" customWidth="1"/>
    <col min="11" max="11" width="12.88671875" style="2" customWidth="1"/>
    <col min="12" max="12" width="55.6640625" style="2" customWidth="1"/>
    <col min="13" max="13" width="16" style="2" customWidth="1"/>
    <col min="14" max="14" width="13.44140625" style="2" customWidth="1"/>
    <col min="15" max="15" width="17.6640625" style="2" customWidth="1"/>
    <col min="16" max="16" width="14.88671875" style="2" customWidth="1"/>
    <col min="17" max="16384" width="11.5546875" style="2"/>
  </cols>
  <sheetData>
    <row r="1" spans="1:19" ht="14.4" thickBot="1" x14ac:dyDescent="0.3">
      <c r="E1" s="3"/>
      <c r="O1" s="3"/>
    </row>
    <row r="2" spans="1:19" ht="14.4" thickTop="1" x14ac:dyDescent="0.25">
      <c r="A2" s="4" t="s">
        <v>58</v>
      </c>
      <c r="B2" s="5"/>
      <c r="C2" s="5"/>
      <c r="D2" s="6"/>
      <c r="E2" s="7" t="s">
        <v>63</v>
      </c>
      <c r="F2" s="8"/>
      <c r="G2" s="9">
        <f>(C13-C12)</f>
        <v>20</v>
      </c>
      <c r="H2" s="10">
        <f>(-C5*C6)*2.71828183^((-C6*(C12+0*G2))-C5*2.71828183^(-C6*(C12+0*G2)))</f>
        <v>1.0718926487046511E-2</v>
      </c>
      <c r="I2" s="10">
        <f>(C12+0*G2)</f>
        <v>60</v>
      </c>
      <c r="K2" s="4" t="s">
        <v>58</v>
      </c>
      <c r="L2" s="5"/>
      <c r="M2" s="5"/>
      <c r="N2" s="6"/>
      <c r="O2" s="7" t="s">
        <v>63</v>
      </c>
      <c r="P2" s="8"/>
      <c r="Q2" s="9">
        <f>(M19-M33)</f>
        <v>20</v>
      </c>
      <c r="R2" s="10">
        <f>(-M5*M6)*2.71828183^((-M6*(M33+0*Q2))-M5*2.71828183^(-M6*(M33+0*Q2)))</f>
        <v>1.0718926487046511E-2</v>
      </c>
      <c r="S2" s="10">
        <f>(M33+0*Q2)</f>
        <v>60</v>
      </c>
    </row>
    <row r="3" spans="1:19" ht="14.4" thickBot="1" x14ac:dyDescent="0.3">
      <c r="A3" s="11" t="s">
        <v>21</v>
      </c>
      <c r="B3" s="12"/>
      <c r="C3" s="12"/>
      <c r="D3" s="13"/>
      <c r="E3" s="14" t="s">
        <v>27</v>
      </c>
      <c r="F3" s="14"/>
      <c r="G3" s="15">
        <v>45.970199999999998</v>
      </c>
      <c r="H3" s="10">
        <f>(-C5*C6)*2.71828183^((-C6*(C12+0.1*G2))-C5*2.71828183^(-C6*(C12+0.1*G2)))</f>
        <v>1.2469369122237964E-2</v>
      </c>
      <c r="I3" s="10">
        <f>(C12+0.1*G2)</f>
        <v>62</v>
      </c>
      <c r="K3" s="11" t="s">
        <v>21</v>
      </c>
      <c r="L3" s="12"/>
      <c r="M3" s="12"/>
      <c r="N3" s="13"/>
      <c r="O3" s="14" t="s">
        <v>27</v>
      </c>
      <c r="P3" s="14"/>
      <c r="Q3" s="15">
        <f t="shared" ref="Q3:Q5" si="0">G3</f>
        <v>45.970199999999998</v>
      </c>
      <c r="R3" s="10">
        <f>(-M5*M6)*2.71828183^((-M6*(M33+0.1*Q2))-M5*2.71828183^(-M6*(M33+0.1*Q2)))</f>
        <v>1.2469369122237964E-2</v>
      </c>
      <c r="S3" s="10">
        <f>(M33+0.1*Q2)</f>
        <v>62</v>
      </c>
    </row>
    <row r="4" spans="1:19" ht="13.8" thickTop="1" x14ac:dyDescent="0.25">
      <c r="A4" s="192" t="s">
        <v>59</v>
      </c>
      <c r="B4" s="17"/>
      <c r="C4" s="18" t="s">
        <v>50</v>
      </c>
      <c r="D4" s="193" t="s">
        <v>51</v>
      </c>
      <c r="E4" s="206" t="s">
        <v>61</v>
      </c>
      <c r="F4" s="20" t="s">
        <v>29</v>
      </c>
      <c r="G4" s="15">
        <v>0.44883181</v>
      </c>
      <c r="H4" s="10">
        <f>(-C5*C6)*2.71828183^((-C6*(C12+0.2*G2))-C5*2.71828183^(-C6*(C12+0.2*G2)))</f>
        <v>1.4429628467698319E-2</v>
      </c>
      <c r="I4" s="10">
        <f>(C12+0.2*G2)</f>
        <v>64</v>
      </c>
      <c r="K4" s="21" t="s">
        <v>60</v>
      </c>
      <c r="L4" s="17"/>
      <c r="M4" s="18" t="s">
        <v>50</v>
      </c>
      <c r="N4" s="193" t="s">
        <v>51</v>
      </c>
      <c r="O4" s="15" t="s">
        <v>61</v>
      </c>
      <c r="P4" s="20" t="s">
        <v>29</v>
      </c>
      <c r="Q4" s="15">
        <f t="shared" si="0"/>
        <v>0.44883181</v>
      </c>
      <c r="R4" s="10">
        <f>(-M5*M6)*2.71828183^((-M6*(M33+0.2*Q2))-M5*2.71828183^(-M6*(M33+0.2*Q2)))</f>
        <v>1.4429628467698319E-2</v>
      </c>
      <c r="S4" s="10">
        <f>(M33+0.2*Q2)</f>
        <v>64</v>
      </c>
    </row>
    <row r="5" spans="1:19" x14ac:dyDescent="0.25">
      <c r="A5" s="26" t="s">
        <v>0</v>
      </c>
      <c r="B5" s="23"/>
      <c r="C5" s="24">
        <v>6.5828999999999996E-4</v>
      </c>
      <c r="D5" s="25">
        <v>1.9406E-4</v>
      </c>
      <c r="E5" s="207" t="s">
        <v>62</v>
      </c>
      <c r="F5" s="15" t="s">
        <v>28</v>
      </c>
      <c r="G5" s="15">
        <v>-2.1684849999999999E-2</v>
      </c>
      <c r="H5" s="10">
        <f>(-C5*C6)*2.71828183^((-C6*(C12+0.3*G2))-C5*2.71828183^(-C6*(C12+0.3*G2)))</f>
        <v>1.6593501533179643E-2</v>
      </c>
      <c r="I5" s="10">
        <f>(C12+0.3*G2)</f>
        <v>66</v>
      </c>
      <c r="K5" s="26" t="s">
        <v>0</v>
      </c>
      <c r="L5" s="23"/>
      <c r="M5" s="24">
        <f t="shared" ref="M5:N9" si="1">C5</f>
        <v>6.5828999999999996E-4</v>
      </c>
      <c r="N5" s="25">
        <f t="shared" si="1"/>
        <v>1.9406E-4</v>
      </c>
      <c r="O5" s="15" t="s">
        <v>62</v>
      </c>
      <c r="P5" s="15" t="s">
        <v>28</v>
      </c>
      <c r="Q5" s="15">
        <f t="shared" si="0"/>
        <v>-2.1684849999999999E-2</v>
      </c>
      <c r="R5" s="10">
        <f>(-M5*M6)*2.71828183^((-M6*(M33+0.3*Q2))-M5*2.71828183^(-M6*(M33+0.3*Q2)))</f>
        <v>1.6593501533179643E-2</v>
      </c>
      <c r="S5" s="10">
        <f>(M33+0.3*Q2)</f>
        <v>66</v>
      </c>
    </row>
    <row r="6" spans="1:19" x14ac:dyDescent="0.25">
      <c r="A6" s="26" t="s">
        <v>1</v>
      </c>
      <c r="B6" s="23"/>
      <c r="C6" s="24">
        <v>-8.9103249999999995E-2</v>
      </c>
      <c r="D6" s="25">
        <v>-9.7472619999999996E-2</v>
      </c>
      <c r="E6" s="27"/>
      <c r="F6" s="28"/>
      <c r="G6" s="28"/>
      <c r="H6" s="10">
        <f>(-C5*C6)*2.71828183^((-C6*(C12+0.4*G2))-C5*2.71828183^(-C6*(C12+0.4*G2)))</f>
        <v>1.8939174270445856E-2</v>
      </c>
      <c r="I6" s="10">
        <f>(C12+0.4*G2)</f>
        <v>68</v>
      </c>
      <c r="K6" s="26" t="s">
        <v>1</v>
      </c>
      <c r="L6" s="23"/>
      <c r="M6" s="24">
        <f t="shared" si="1"/>
        <v>-8.9103249999999995E-2</v>
      </c>
      <c r="N6" s="25">
        <f t="shared" si="1"/>
        <v>-9.7472619999999996E-2</v>
      </c>
      <c r="O6" s="27"/>
      <c r="P6" s="28"/>
      <c r="Q6" s="28"/>
      <c r="R6" s="10">
        <f>(-M5*M6)*2.71828183^((-M6*(M33+0.4*Q2))-M5*2.71828183^(-M6*(M33+0.4*Q2)))</f>
        <v>1.8939174270445856E-2</v>
      </c>
      <c r="S6" s="10">
        <f>(M33+0.4*Q2)</f>
        <v>68</v>
      </c>
    </row>
    <row r="7" spans="1:19" x14ac:dyDescent="0.25">
      <c r="A7" s="34" t="s">
        <v>19</v>
      </c>
      <c r="B7" s="30"/>
      <c r="C7" s="31">
        <v>82.22</v>
      </c>
      <c r="D7" s="32">
        <v>87.69</v>
      </c>
      <c r="H7" s="10">
        <f>(-C5*C6)*2.71828183^((-C6*(C12+0.5*G2))-C5*2.71828183^(-C6*(C12+0.5*G2)))</f>
        <v>2.1423392119845782E-2</v>
      </c>
      <c r="I7" s="10">
        <f>(C12+0.5*G2)</f>
        <v>70</v>
      </c>
      <c r="K7" s="34" t="s">
        <v>19</v>
      </c>
      <c r="L7" s="30"/>
      <c r="M7" s="31">
        <f t="shared" si="1"/>
        <v>82.22</v>
      </c>
      <c r="N7" s="32">
        <f t="shared" si="1"/>
        <v>87.69</v>
      </c>
      <c r="R7" s="10">
        <f>(-M5*M6)*2.71828183^((-M6*(M33+0.5*Q2))-M5*2.71828183^(-M6*(M33+0.5*Q2)))</f>
        <v>2.1423392119845782E-2</v>
      </c>
      <c r="S7" s="10">
        <f>(M33+0.5*Q2)</f>
        <v>70</v>
      </c>
    </row>
    <row r="8" spans="1:19" x14ac:dyDescent="0.25">
      <c r="A8" s="34" t="s">
        <v>53</v>
      </c>
      <c r="B8" s="23"/>
      <c r="C8" s="35">
        <v>0.99882154999999995</v>
      </c>
      <c r="D8" s="36">
        <v>0.99722177999999995</v>
      </c>
      <c r="H8" s="10">
        <f>(-C5*C6)*2.71828183^((-C6*(C12+0.6*G2))-C5*2.71828183^(-C6*(C12+0.6*G2)))</f>
        <v>2.3975058039239001E-2</v>
      </c>
      <c r="I8" s="10">
        <f>(C12+0.6*G2)</f>
        <v>72</v>
      </c>
      <c r="K8" s="34" t="s">
        <v>53</v>
      </c>
      <c r="L8" s="23"/>
      <c r="M8" s="35">
        <f t="shared" si="1"/>
        <v>0.99882154999999995</v>
      </c>
      <c r="N8" s="36">
        <f t="shared" si="1"/>
        <v>0.99722177999999995</v>
      </c>
      <c r="R8" s="10">
        <f>(-M5*M6)*2.71828183^((-M6*(M33+0.6*Q2))-M5*2.71828183^(-M6*(M33+0.6*Q2)))</f>
        <v>2.3975058039239001E-2</v>
      </c>
      <c r="S8" s="10">
        <f>(M33+0.6*Q2)</f>
        <v>72</v>
      </c>
    </row>
    <row r="9" spans="1:19" ht="13.8" thickBot="1" x14ac:dyDescent="0.3">
      <c r="A9" s="43" t="s">
        <v>20</v>
      </c>
      <c r="B9" s="38"/>
      <c r="C9" s="39">
        <v>79.34</v>
      </c>
      <c r="D9" s="40">
        <v>85.32</v>
      </c>
      <c r="E9" s="41"/>
      <c r="F9" s="42"/>
      <c r="G9" s="42"/>
      <c r="H9" s="10">
        <f>(-C5*C6)*2.71828183^((-C6*(C12+0.7*G2))-C5*2.71828183^(-C6*(C12+0.7*G2)))</f>
        <v>2.648909501252809E-2</v>
      </c>
      <c r="I9" s="10">
        <f>(C12+0.7*G2)</f>
        <v>74</v>
      </c>
      <c r="K9" s="43" t="s">
        <v>20</v>
      </c>
      <c r="L9" s="38"/>
      <c r="M9" s="39">
        <f t="shared" si="1"/>
        <v>79.34</v>
      </c>
      <c r="N9" s="40">
        <f t="shared" si="1"/>
        <v>85.32</v>
      </c>
      <c r="O9" s="41"/>
      <c r="P9" s="42"/>
      <c r="Q9" s="42"/>
      <c r="R9" s="10">
        <f>(-M5*M6)*2.71828183^((-M6*(M33+0.7*Q2))-M5*2.71828183^(-M6*(M33+0.7*Q2)))</f>
        <v>2.648909501252809E-2</v>
      </c>
      <c r="S9" s="10">
        <f>(M33+0.7*Q2)</f>
        <v>74</v>
      </c>
    </row>
    <row r="10" spans="1:19" ht="14.4" thickTop="1" thickBot="1" x14ac:dyDescent="0.3">
      <c r="A10" s="51" t="s">
        <v>18</v>
      </c>
      <c r="B10" s="45"/>
      <c r="C10" s="46"/>
      <c r="D10" s="47"/>
      <c r="E10" s="48" t="s">
        <v>24</v>
      </c>
      <c r="F10" s="49" t="s">
        <v>22</v>
      </c>
      <c r="G10" s="50" t="s">
        <v>23</v>
      </c>
      <c r="H10" s="10">
        <f>(-C5*C6)*2.71828183^((-C6*(C12+0.8*G2))-C5*2.71828183^(-C6*(C12+0.8*G2)))</f>
        <v>2.8822073553130993E-2</v>
      </c>
      <c r="I10" s="10">
        <f>(C12+0.8*G2)</f>
        <v>76</v>
      </c>
      <c r="K10" s="51" t="s">
        <v>18</v>
      </c>
      <c r="L10" s="45"/>
      <c r="M10" s="46"/>
      <c r="N10" s="47"/>
      <c r="O10" s="48" t="s">
        <v>24</v>
      </c>
      <c r="P10" s="49" t="s">
        <v>22</v>
      </c>
      <c r="Q10" s="50" t="s">
        <v>23</v>
      </c>
      <c r="R10" s="10">
        <f>(-M5*M6)*2.71828183^((-M6*(M33+0.8*Q2))-M5*2.71828183^(-M6*(M33+0.8*Q2)))</f>
        <v>2.8822073553130993E-2</v>
      </c>
      <c r="S10" s="10">
        <f>(M33+0.8*Q2)</f>
        <v>76</v>
      </c>
    </row>
    <row r="11" spans="1:19" ht="18.600000000000001" thickTop="1" thickBot="1" x14ac:dyDescent="0.35">
      <c r="A11" s="194" t="s">
        <v>11</v>
      </c>
      <c r="B11" s="53"/>
      <c r="C11" s="182">
        <v>0</v>
      </c>
      <c r="D11" s="54">
        <f>(C11)</f>
        <v>0</v>
      </c>
      <c r="E11" s="55" t="s">
        <v>25</v>
      </c>
      <c r="F11" s="56">
        <f>IF(C11=0,C9,ROUND(((((2.71828183^(LN(2.71828183*G3)-G4*2.71828183^(-G5*C11)))))),2))</f>
        <v>79.34</v>
      </c>
      <c r="G11" s="57">
        <f>IF(D11=0,D9,ROUND(((((2.71828183^(LN(2.71828183*G23)-G24*2.71828183^(-G25*D11)))))),2))</f>
        <v>85.32</v>
      </c>
      <c r="H11" s="10">
        <f>(-C5*C6)*2.71828183^((-C6*(C12+0.9*G2))-C5*2.71828183^(-C6*(C12+0.9*G2)))</f>
        <v>3.0791926917292541E-2</v>
      </c>
      <c r="I11" s="10">
        <f>(C12+0.9*G2)</f>
        <v>78</v>
      </c>
      <c r="K11" s="58" t="s">
        <v>42</v>
      </c>
      <c r="L11" s="53"/>
      <c r="M11" s="182">
        <v>0</v>
      </c>
      <c r="N11" s="183">
        <v>0</v>
      </c>
      <c r="O11" s="55" t="s">
        <v>25</v>
      </c>
      <c r="P11" s="56">
        <f>IF(M11=0,M9,ROUND(((((2.71828183^(LN(2.71828183*Q3)-Q4*2.71828183^(-Q5*M11)))))),2))</f>
        <v>79.34</v>
      </c>
      <c r="Q11" s="57">
        <f>IF(N11=0,N9,ROUND(((((2.71828183^(LN(2.71828183*Q23)-Q24*2.71828183^(-Q25*N11)))))),2))</f>
        <v>85.32</v>
      </c>
      <c r="R11" s="10">
        <f>(-M5*M6)*2.71828183^((-M6*(M33+0.9*Q2))-M5*2.71828183^(-M6*(M33+0.9*Q2)))</f>
        <v>3.0791926917292541E-2</v>
      </c>
      <c r="S11" s="10">
        <f>(M33+0.9*Q2)</f>
        <v>78</v>
      </c>
    </row>
    <row r="12" spans="1:19" ht="18" thickTop="1" x14ac:dyDescent="0.3">
      <c r="A12" s="65" t="s">
        <v>10</v>
      </c>
      <c r="B12" s="60"/>
      <c r="C12" s="184">
        <v>60</v>
      </c>
      <c r="D12" s="54">
        <f>(C12)</f>
        <v>60</v>
      </c>
      <c r="E12" s="61" t="s">
        <v>30</v>
      </c>
      <c r="F12" s="62">
        <f>ROUND(((H2*I2)+(H3*I3)+(H4*I4)+(H5*I5)+(H6*I6)+(H7*I7)+(H8*I8)+(H9*I9)+(H10*I10)+(H11*I11)+(H12*I12))/SUM(H2:H12)-C12,2)</f>
        <v>12.1</v>
      </c>
      <c r="G12" s="195">
        <f>ROUND(((H22*I22)+(H23*I23)+(H24*I24)+(H25*I25)+(H26*I26)+(H27*I27)+(H28*I28)+(H29*I29)+(H30*I30)+(H31*I31)+(H32*I32))/SUM(H22:H32)-D12,2)</f>
        <v>12.9</v>
      </c>
      <c r="H12" s="64">
        <f>(-C5*C6)*2.71828183^((-C6*(C12+1*G2))-C5*2.71828183^(-C6*(C12+1*G2)))</f>
        <v>3.2184882274888922E-2</v>
      </c>
      <c r="I12" s="10">
        <f>(C12+1*G2)</f>
        <v>80</v>
      </c>
      <c r="K12" s="65" t="s">
        <v>43</v>
      </c>
      <c r="L12" s="60"/>
      <c r="M12" s="184">
        <v>77.05</v>
      </c>
      <c r="N12" s="185">
        <v>82.77</v>
      </c>
      <c r="O12" s="66"/>
      <c r="P12" s="67"/>
      <c r="Q12" s="67"/>
      <c r="R12" s="10">
        <f>(-M5*M6)*2.71828183^((-M6*(M33+1*Q2))-M5*2.71828183^(-M6*(M33+1*Q2)))</f>
        <v>3.2184882274888922E-2</v>
      </c>
      <c r="S12" s="10">
        <f>(M33+1*Q2)</f>
        <v>80</v>
      </c>
    </row>
    <row r="13" spans="1:19" ht="17.399999999999999" x14ac:dyDescent="0.3">
      <c r="A13" s="74" t="s">
        <v>9</v>
      </c>
      <c r="B13" s="69"/>
      <c r="C13" s="186">
        <v>80</v>
      </c>
      <c r="D13" s="54">
        <f>(C13)</f>
        <v>80</v>
      </c>
      <c r="E13" s="55" t="s">
        <v>25</v>
      </c>
      <c r="F13" s="71">
        <f>ROUND(((((2.71828183^(LN(2.71828183*G3)-G4*2.71828183^(-G5*C13)))))),2)</f>
        <v>9.82</v>
      </c>
      <c r="G13" s="72">
        <f>ROUND(((((2.71828183^(LN(2.71828183*G23)-G24*2.71828183^(-G25*D13)))))),2)</f>
        <v>11.81</v>
      </c>
      <c r="H13" s="73"/>
      <c r="I13" s="73"/>
      <c r="K13" s="74" t="s">
        <v>44</v>
      </c>
      <c r="L13" s="69"/>
      <c r="M13" s="186">
        <v>44.04</v>
      </c>
      <c r="N13" s="187">
        <v>62.35</v>
      </c>
      <c r="O13" s="75"/>
      <c r="P13" s="76"/>
      <c r="Q13" s="76"/>
      <c r="R13" s="73"/>
      <c r="S13" s="73"/>
    </row>
    <row r="14" spans="1:19" ht="18" thickBot="1" x14ac:dyDescent="0.35">
      <c r="A14" s="82" t="s">
        <v>8</v>
      </c>
      <c r="B14" s="78"/>
      <c r="C14" s="188">
        <v>90</v>
      </c>
      <c r="D14" s="79">
        <f>(C14)</f>
        <v>90</v>
      </c>
      <c r="E14" s="55" t="s">
        <v>25</v>
      </c>
      <c r="F14" s="80">
        <f>ROUND(((((2.71828183^(LN(2.71828183*G3)-G4*2.71828183^(-G5*C14)))))),2)</f>
        <v>5.3</v>
      </c>
      <c r="G14" s="81">
        <f>ROUND(((((2.71828183^(LN(2.71828183*G23)-G24*2.71828183^(-G25*D14)))))),2)</f>
        <v>6.3</v>
      </c>
      <c r="H14" s="73"/>
      <c r="I14" s="73"/>
      <c r="K14" s="82" t="s">
        <v>45</v>
      </c>
      <c r="L14" s="78"/>
      <c r="M14" s="188">
        <v>30.73</v>
      </c>
      <c r="N14" s="189">
        <v>45.84</v>
      </c>
      <c r="O14" s="75"/>
      <c r="P14" s="83"/>
      <c r="Q14" s="83"/>
      <c r="R14" s="73"/>
      <c r="S14" s="73"/>
    </row>
    <row r="15" spans="1:19" ht="14.4" thickTop="1" thickBot="1" x14ac:dyDescent="0.3">
      <c r="A15" s="89" t="s">
        <v>13</v>
      </c>
      <c r="B15" s="196"/>
      <c r="C15" s="196"/>
      <c r="D15" s="86"/>
      <c r="E15" s="66"/>
      <c r="F15" s="87"/>
      <c r="G15" s="88"/>
      <c r="H15" s="73"/>
      <c r="I15" s="73"/>
      <c r="K15" s="89" t="s">
        <v>13</v>
      </c>
      <c r="L15" s="85"/>
      <c r="M15" s="85"/>
      <c r="N15" s="86"/>
      <c r="O15" s="75"/>
      <c r="P15" s="90"/>
      <c r="Q15" s="91"/>
      <c r="R15" s="73"/>
      <c r="S15" s="73"/>
    </row>
    <row r="16" spans="1:19" ht="13.8" thickTop="1" x14ac:dyDescent="0.25">
      <c r="A16" s="96" t="s">
        <v>6</v>
      </c>
      <c r="B16" s="93"/>
      <c r="C16" s="94"/>
      <c r="D16" s="95"/>
      <c r="E16" s="70"/>
      <c r="F16" s="70"/>
      <c r="G16" s="70"/>
      <c r="H16" s="73"/>
      <c r="I16" s="73"/>
      <c r="K16" s="96" t="s">
        <v>6</v>
      </c>
      <c r="L16" s="93"/>
      <c r="M16" s="94"/>
      <c r="N16" s="95"/>
      <c r="O16" s="70"/>
      <c r="P16" s="70"/>
      <c r="Q16" s="70"/>
      <c r="R16" s="73"/>
      <c r="S16" s="73"/>
    </row>
    <row r="17" spans="1:19" ht="13.8" thickBot="1" x14ac:dyDescent="0.3">
      <c r="A17" s="100" t="s">
        <v>7</v>
      </c>
      <c r="B17" s="151"/>
      <c r="C17" s="98"/>
      <c r="D17" s="99"/>
      <c r="E17" s="70"/>
      <c r="F17" s="70"/>
      <c r="G17" s="70"/>
      <c r="H17" s="73"/>
      <c r="I17" s="73"/>
      <c r="K17" s="100"/>
      <c r="L17" s="97"/>
      <c r="M17" s="98"/>
      <c r="N17" s="99"/>
      <c r="O17" s="70"/>
      <c r="P17" s="70"/>
      <c r="Q17" s="70"/>
      <c r="R17" s="73"/>
      <c r="S17" s="73"/>
    </row>
    <row r="18" spans="1:19" ht="14.4" thickTop="1" thickBot="1" x14ac:dyDescent="0.3">
      <c r="A18" s="100" t="s">
        <v>3</v>
      </c>
      <c r="B18" s="151"/>
      <c r="C18" s="101">
        <f>((2.71828183^(-C5*(2.71828183^(-C6*C13)-2.71828183^(-C6*C11))))*100)</f>
        <v>44.041593941908097</v>
      </c>
      <c r="D18" s="102">
        <f>((2.71828183^(-D5*(2.71828183^(-D6*C13)-2.71828183^(-D6*C11))))*100)</f>
        <v>62.350850501575785</v>
      </c>
      <c r="E18" s="70"/>
      <c r="F18" s="70"/>
      <c r="G18" s="27"/>
      <c r="H18" s="73"/>
      <c r="I18" s="73"/>
      <c r="K18" s="100"/>
      <c r="L18" s="97"/>
      <c r="M18" s="101">
        <f>((2.71828183^(-M5*(2.71828183^(-M6*M13)-2.71828183^(-M6*M11))))*100)</f>
        <v>96.787109595578684</v>
      </c>
      <c r="N18" s="102">
        <f>((2.71828183^(-N5*(2.71828183^(-N6*M13)-2.71828183^(-N6*M11))))*100)</f>
        <v>98.609358640004544</v>
      </c>
      <c r="O18" s="103" t="s">
        <v>24</v>
      </c>
      <c r="P18" s="104" t="s">
        <v>22</v>
      </c>
      <c r="Q18" s="105" t="s">
        <v>23</v>
      </c>
      <c r="R18" s="73"/>
      <c r="S18" s="73"/>
    </row>
    <row r="19" spans="1:19" ht="18.600000000000001" thickTop="1" thickBot="1" x14ac:dyDescent="0.35">
      <c r="A19" s="100" t="s">
        <v>34</v>
      </c>
      <c r="B19" s="151"/>
      <c r="C19" s="106">
        <f>ROUND(C18,2)</f>
        <v>44.04</v>
      </c>
      <c r="D19" s="72">
        <f>ROUND(D18,2)</f>
        <v>62.35</v>
      </c>
      <c r="E19" s="70"/>
      <c r="F19" s="70"/>
      <c r="G19" s="172"/>
      <c r="H19" s="73"/>
      <c r="I19" s="73"/>
      <c r="K19" s="100" t="s">
        <v>46</v>
      </c>
      <c r="L19" s="97"/>
      <c r="M19" s="106">
        <f>ROUND(((LN(((LN(M13*0.01))/-M5)+2.71828183^(-M6*M11)))/-M6),2)</f>
        <v>80</v>
      </c>
      <c r="N19" s="72">
        <f>ROUND(((LN(((LN(N13*0.01))/-N5)+2.71828183^(-N6*N11)))/-N6),2)</f>
        <v>80</v>
      </c>
      <c r="O19" s="107" t="s">
        <v>25</v>
      </c>
      <c r="P19" s="71">
        <f>IF(M19=0,M9,ROUND(((((2.71828183^(LN(2.71828183*Q3)-Q4*2.71828183^(-Q5*M19)))))),2))</f>
        <v>9.82</v>
      </c>
      <c r="Q19" s="108">
        <f>IF(N19=0,N9,ROUND(((((2.71828183^(LN(2.71828183*Q23)-Q24*2.71828183^(-Q25*N19)))))),2))</f>
        <v>11.81</v>
      </c>
      <c r="R19" s="73"/>
      <c r="S19" s="73"/>
    </row>
    <row r="20" spans="1:19" ht="13.8" thickTop="1" x14ac:dyDescent="0.25">
      <c r="A20" s="26"/>
      <c r="B20" s="23"/>
      <c r="C20" s="35"/>
      <c r="D20" s="36"/>
      <c r="E20" s="70"/>
      <c r="F20" s="70"/>
      <c r="G20" s="27"/>
      <c r="H20" s="73"/>
      <c r="I20" s="73"/>
      <c r="K20" s="26"/>
      <c r="L20" s="8"/>
      <c r="M20" s="35"/>
      <c r="N20" s="36"/>
      <c r="O20" s="70"/>
      <c r="P20" s="109"/>
      <c r="Q20" s="109"/>
      <c r="R20" s="73"/>
      <c r="S20" s="73"/>
    </row>
    <row r="21" spans="1:19" x14ac:dyDescent="0.25">
      <c r="A21" s="112" t="s">
        <v>4</v>
      </c>
      <c r="B21" s="197"/>
      <c r="C21" s="111"/>
      <c r="D21" s="36"/>
      <c r="E21" s="70"/>
      <c r="F21" s="70"/>
      <c r="G21" s="27"/>
      <c r="H21" s="73"/>
      <c r="I21" s="73"/>
      <c r="K21" s="112"/>
      <c r="L21" s="110"/>
      <c r="M21" s="111"/>
      <c r="N21" s="36"/>
      <c r="O21" s="70"/>
      <c r="P21" s="70"/>
      <c r="Q21" s="27"/>
      <c r="R21" s="73"/>
      <c r="S21" s="73"/>
    </row>
    <row r="22" spans="1:19" x14ac:dyDescent="0.25">
      <c r="A22" s="112" t="s">
        <v>5</v>
      </c>
      <c r="B22" s="197"/>
      <c r="C22" s="113">
        <f>((2.71828183^(-C5*(2.71828183^(-C6*(C11+1))-2.71828183^(-C6*(C11-0)))))*100)</f>
        <v>99.993865351762281</v>
      </c>
      <c r="D22" s="102">
        <f>((2.71828183^(-D5*(2.71828183^(-D6*(C11+1))-2.71828183^(-D6*(C11-0)))))*100)</f>
        <v>99.998013209042838</v>
      </c>
      <c r="E22" s="7" t="s">
        <v>64</v>
      </c>
      <c r="F22" s="8"/>
      <c r="G22" s="9">
        <f>(D13-D12)</f>
        <v>20</v>
      </c>
      <c r="H22" s="10">
        <f>(-D5*D6)*2.71828183^((-D6*(D12+0*G22))-D5*2.71828183^(-D6*(D12+0*G22)))</f>
        <v>6.1307179077786005E-3</v>
      </c>
      <c r="I22" s="10">
        <f>(D12+0*G22)</f>
        <v>60</v>
      </c>
      <c r="K22" s="112"/>
      <c r="L22" s="110"/>
      <c r="M22" s="113">
        <f>((2.71828183^(-M5*(2.71828183^(-M6*(M11+1))-2.71828183^(-M6*(M11-0)))))*100)</f>
        <v>99.993865351762281</v>
      </c>
      <c r="N22" s="102">
        <f>((2.71828183^(-N5*(2.71828183^(-N6*(M11+1))-2.71828183^(-N6*(M11-0)))))*100)</f>
        <v>99.998013209042838</v>
      </c>
      <c r="O22" s="7" t="s">
        <v>64</v>
      </c>
      <c r="P22" s="8"/>
      <c r="Q22" s="9">
        <f>(N19-N33)</f>
        <v>20</v>
      </c>
      <c r="R22" s="10">
        <f>(-N5*N6)*2.71828183^((-N6*(N33+0*Q22))-N5*2.71828183^(-N6*(N33+0*Q22)))</f>
        <v>6.1307179077786005E-3</v>
      </c>
      <c r="S22" s="10">
        <f>(N33+0*Q22)</f>
        <v>60</v>
      </c>
    </row>
    <row r="23" spans="1:19" ht="17.399999999999999" x14ac:dyDescent="0.3">
      <c r="A23" s="112" t="s">
        <v>35</v>
      </c>
      <c r="B23" s="197"/>
      <c r="C23" s="114">
        <f>ROUND(C22,3)</f>
        <v>99.994</v>
      </c>
      <c r="D23" s="115">
        <f>ROUND(D22,3)</f>
        <v>99.998000000000005</v>
      </c>
      <c r="E23" s="14" t="s">
        <v>27</v>
      </c>
      <c r="F23" s="14"/>
      <c r="G23" s="15">
        <v>43.6783</v>
      </c>
      <c r="H23" s="10">
        <f>(-D5*D6)*2.71828183^((-D6*(D12+0.1*G22))-D5*2.71828183^(-D6*(D12+0.1*G22)))</f>
        <v>7.3432153708207232E-3</v>
      </c>
      <c r="I23" s="10">
        <f>(D12+0.1*G22)</f>
        <v>62</v>
      </c>
      <c r="K23" s="112" t="s">
        <v>47</v>
      </c>
      <c r="L23" s="110"/>
      <c r="M23" s="114">
        <f>ROUND(M22,3)</f>
        <v>99.994</v>
      </c>
      <c r="N23" s="115">
        <f>ROUND(N22,3)</f>
        <v>99.998000000000005</v>
      </c>
      <c r="O23" s="14" t="s">
        <v>27</v>
      </c>
      <c r="P23" s="14"/>
      <c r="Q23" s="15">
        <f t="shared" ref="Q23:Q25" si="2">G23</f>
        <v>43.6783</v>
      </c>
      <c r="R23" s="10">
        <f>(-N5*N6)*2.71828183^((-N6*(N33+0.1*Q22))-N5*2.71828183^(-N6*(N33+0.1*Q22)))</f>
        <v>7.3432153708207232E-3</v>
      </c>
      <c r="S23" s="10">
        <f>(N33+0.1*Q22)</f>
        <v>62</v>
      </c>
    </row>
    <row r="24" spans="1:19" x14ac:dyDescent="0.25">
      <c r="A24" s="116" t="s">
        <v>36</v>
      </c>
      <c r="B24" s="198"/>
      <c r="C24" s="35"/>
      <c r="D24" s="36"/>
      <c r="E24" s="15" t="s">
        <v>61</v>
      </c>
      <c r="F24" s="20" t="s">
        <v>29</v>
      </c>
      <c r="G24" s="15">
        <v>0.33654561999999999</v>
      </c>
      <c r="H24" s="10">
        <f>(-D5*D6)*2.71828183^((-D6*(D12+0.2*G22))-D5*2.71828183^(-D6*(D12+0.2*G22)))</f>
        <v>8.7681422836636824E-3</v>
      </c>
      <c r="I24" s="10">
        <f>(D12+0.2*G22)</f>
        <v>64</v>
      </c>
      <c r="K24" s="116" t="s">
        <v>36</v>
      </c>
      <c r="L24" s="117"/>
      <c r="M24" s="35"/>
      <c r="N24" s="36"/>
      <c r="O24" s="15" t="s">
        <v>61</v>
      </c>
      <c r="P24" s="20" t="s">
        <v>31</v>
      </c>
      <c r="Q24" s="15">
        <f t="shared" si="2"/>
        <v>0.33654561999999999</v>
      </c>
      <c r="R24" s="10">
        <f>(-N5*N6)*2.71828183^((-N6*(N33+0.2*Q22))-N5*2.71828183^(-N6*(N33+0.2*Q22)))</f>
        <v>8.7681422836636824E-3</v>
      </c>
      <c r="S24" s="10">
        <f>(N33+0.2*Q22)</f>
        <v>64</v>
      </c>
    </row>
    <row r="25" spans="1:19" x14ac:dyDescent="0.25">
      <c r="A25" s="26"/>
      <c r="B25" s="23"/>
      <c r="C25" s="113">
        <f>(2.71828183^(-C5*((2.71828183^(-C6*C14))-(2.71828183^(-C6*C13)))))</f>
        <v>0.3073196808546097</v>
      </c>
      <c r="D25" s="102">
        <f>(2.71828183^(-D5*((2.71828183^(-D6*C14))-(2.71828183^(-D6*C13)))))</f>
        <v>0.4584165317774585</v>
      </c>
      <c r="E25" s="15" t="s">
        <v>62</v>
      </c>
      <c r="F25" s="15" t="s">
        <v>28</v>
      </c>
      <c r="G25" s="15">
        <v>-2.4066819999999999E-2</v>
      </c>
      <c r="H25" s="10">
        <f>(-D5*D6)*2.71828183^((-D6*(D12+0.3*G22))-D5*2.71828183^(-D6*(D12+0.3*G22)))</f>
        <v>1.0429991263400313E-2</v>
      </c>
      <c r="I25" s="10">
        <f>(D12+0.3*G22)</f>
        <v>66</v>
      </c>
      <c r="K25" s="26"/>
      <c r="L25" s="8"/>
      <c r="M25" s="113">
        <f>(2.71828183^(-M5*((2.71828183^(-M6*M14))-(2.71828183^(-M6*M13)))))</f>
        <v>1.0234084193303488</v>
      </c>
      <c r="N25" s="102">
        <f>(2.71828183^(-N5*((2.71828183^(-N6*M14))-(2.71828183^(-N6*M13)))))</f>
        <v>1.0103718391120313</v>
      </c>
      <c r="O25" s="15" t="s">
        <v>62</v>
      </c>
      <c r="P25" s="15" t="s">
        <v>32</v>
      </c>
      <c r="Q25" s="15">
        <f t="shared" si="2"/>
        <v>-2.4066819999999999E-2</v>
      </c>
      <c r="R25" s="10">
        <f>(-N5*N6)*2.71828183^((-N6*(N33+0.3*Q22))-N5*2.71828183^(-N6*(N33+0.3*Q22)))</f>
        <v>1.0429991263400313E-2</v>
      </c>
      <c r="S25" s="10">
        <f>(N33+0.3*Q22)</f>
        <v>66</v>
      </c>
    </row>
    <row r="26" spans="1:19" x14ac:dyDescent="0.25">
      <c r="A26" s="119" t="s">
        <v>7</v>
      </c>
      <c r="B26" s="23"/>
      <c r="C26" s="113">
        <f>(2.71828183^(-C5*(2.71828183^(-C6*C12)-1)))</f>
        <v>0.87157224603330441</v>
      </c>
      <c r="D26" s="102">
        <f>(2.71828183^(-D5*(2.71828183^(-D6*C12)-1)))</f>
        <v>0.93512072902164167</v>
      </c>
      <c r="E26" s="27"/>
      <c r="F26" s="28"/>
      <c r="G26" s="28"/>
      <c r="H26" s="10">
        <f>(-D5*D6)*2.71828183^((-D6*(D12+0.4*G22))-D5*2.71828183^(-D6*(D12+0.4*G22)))</f>
        <v>1.2349838092015815E-2</v>
      </c>
      <c r="I26" s="10">
        <f>(D12+0.4*G22)</f>
        <v>68</v>
      </c>
      <c r="K26" s="119"/>
      <c r="L26" s="8"/>
      <c r="M26" s="113">
        <f>(2.71828183^(-M5*(2.71828183^(-M6*M12)-1)))</f>
        <v>0.53241325369036918</v>
      </c>
      <c r="N26" s="102">
        <f>(2.71828183^(-N5*(2.71828183^(-N6*M12)-1)))</f>
        <v>0.70166794445157077</v>
      </c>
      <c r="O26" s="27"/>
      <c r="P26" s="28"/>
      <c r="Q26" s="28"/>
      <c r="R26" s="10">
        <f>(-N5*N6)*2.71828183^((-N6*(N33+0.4*Q22))-N5*2.71828183^(-N6*(N33+0.4*Q22)))</f>
        <v>1.2349838092015815E-2</v>
      </c>
      <c r="S26" s="10">
        <f>(N33+0.4*Q22)</f>
        <v>68</v>
      </c>
    </row>
    <row r="27" spans="1:19" ht="13.8" thickBot="1" x14ac:dyDescent="0.3">
      <c r="A27" s="119" t="s">
        <v>37</v>
      </c>
      <c r="B27" s="199"/>
      <c r="C27" s="113">
        <f>(2.71828183^(-C5*(2.71828183^(-C6*C13)-1)))</f>
        <v>0.44041593941908097</v>
      </c>
      <c r="D27" s="102">
        <f>(2.71828183^(-D5*(2.71828183^(-D6*C13)-1)))</f>
        <v>0.62350850501575783</v>
      </c>
      <c r="E27" s="70"/>
      <c r="F27" s="70"/>
      <c r="G27" s="27"/>
      <c r="H27" s="10">
        <f>(-D5*D6)*2.71828183^((-D6*(D12+0.5*G22))-D5*2.71828183^(-D6*(D12+0.5*G22)))</f>
        <v>1.4541501924778346E-2</v>
      </c>
      <c r="I27" s="10">
        <f>(D12+0.5*G22)</f>
        <v>70</v>
      </c>
      <c r="K27" s="119"/>
      <c r="L27" s="120"/>
      <c r="M27" s="113">
        <f>(2.71828183^(-M5*(2.71828183^(-M6*M13)-1)))</f>
        <v>0.96787109595578691</v>
      </c>
      <c r="N27" s="102">
        <f>(2.71828183^(-N5*(2.71828183^(-N6*M13)-1)))</f>
        <v>0.98609358640004541</v>
      </c>
      <c r="O27" s="70"/>
      <c r="P27" s="70"/>
      <c r="Q27" s="27"/>
      <c r="R27" s="10">
        <f>(-N5*N6)*2.71828183^((-N6*(N33+0.5*Q22))-N5*2.71828183^(-N6*(N33+0.5*Q22)))</f>
        <v>1.4541501924778346E-2</v>
      </c>
      <c r="S27" s="10">
        <f>(N33+0.5*Q22)</f>
        <v>70</v>
      </c>
    </row>
    <row r="28" spans="1:19" ht="14.4" thickTop="1" thickBot="1" x14ac:dyDescent="0.3">
      <c r="A28" s="119" t="s">
        <v>38</v>
      </c>
      <c r="B28" s="199"/>
      <c r="C28" s="113">
        <f>(2.71828183^(-C5*(2.71828183^(-C6*C11)-1)))</f>
        <v>1</v>
      </c>
      <c r="D28" s="102">
        <f>(2.71828183^(-D5*(2.71828183^(-D6*C11)-1)))</f>
        <v>1</v>
      </c>
      <c r="E28" s="70"/>
      <c r="F28" s="70"/>
      <c r="G28" s="27"/>
      <c r="H28" s="10">
        <f>(-D5*D6)*2.71828183^((-D6*(D12+0.6*G22))-D5*2.71828183^(-D6*(D12+0.6*G22)))</f>
        <v>1.700611262191545E-2</v>
      </c>
      <c r="I28" s="10">
        <f>(D12+0.6*G22)</f>
        <v>72</v>
      </c>
      <c r="K28" s="119"/>
      <c r="L28" s="120"/>
      <c r="M28" s="113">
        <f>(2.71828183^(-M5*(2.71828183^(-M6*M11)-1)))</f>
        <v>1</v>
      </c>
      <c r="N28" s="102">
        <f>(2.71828183^(-N5*(2.71828183^(-N6*M11)-1)))</f>
        <v>1</v>
      </c>
      <c r="O28" s="103" t="s">
        <v>24</v>
      </c>
      <c r="P28" s="104" t="s">
        <v>22</v>
      </c>
      <c r="Q28" s="105" t="s">
        <v>23</v>
      </c>
      <c r="R28" s="10">
        <f>(-N5*N6)*2.71828183^((-N6*(N33+0.6*Q22))-N5*2.71828183^(-N6*(N33+0.6*Q22)))</f>
        <v>1.700611262191545E-2</v>
      </c>
      <c r="S28" s="10">
        <f>(N33+0.6*Q22)</f>
        <v>72</v>
      </c>
    </row>
    <row r="29" spans="1:19" ht="18.600000000000001" thickTop="1" thickBot="1" x14ac:dyDescent="0.35">
      <c r="A29" s="119" t="s">
        <v>39</v>
      </c>
      <c r="B29" s="199"/>
      <c r="C29" s="121">
        <f>ROUND((C25*100),2)</f>
        <v>30.73</v>
      </c>
      <c r="D29" s="122">
        <f>ROUND((D25*100),2)</f>
        <v>45.84</v>
      </c>
      <c r="E29" s="70"/>
      <c r="F29" s="70"/>
      <c r="G29" s="27"/>
      <c r="H29" s="10">
        <f>(-D5*D6)*2.71828183^((-D6*(D12+0.7*G22))-D5*2.71828183^(-D6*(D12+0.7*G22)))</f>
        <v>1.9724825653192477E-2</v>
      </c>
      <c r="I29" s="10">
        <f>(D12+0.7*G22)</f>
        <v>74</v>
      </c>
      <c r="K29" s="119" t="s">
        <v>48</v>
      </c>
      <c r="L29" s="120"/>
      <c r="M29" s="121">
        <f>ROUND(((LN((LN(0.01*M14)/-M5)+2.71828183^(-M6*M19))/-M6)),2)</f>
        <v>90</v>
      </c>
      <c r="N29" s="122">
        <f>ROUND(((LN((LN(0.01*N14)/-N5)+2.71828183^(-N6*N19))/-N6)),2)</f>
        <v>90</v>
      </c>
      <c r="O29" s="107" t="s">
        <v>25</v>
      </c>
      <c r="P29" s="80">
        <f>IF(M29=0,M9,ROUND(((((2.71828183^(LN(2.71828183*Q3)-Q4*2.71828183^(-Q5*M29)))))),2))</f>
        <v>5.3</v>
      </c>
      <c r="Q29" s="123">
        <f>IF(N29=0,N9,ROUND(((((2.71828183^(LN(2.71828183*Q23)-Q24*2.71828183^(-Q25*N29)))))),2))</f>
        <v>6.3</v>
      </c>
      <c r="R29" s="10">
        <f>(-N5*N6)*2.71828183^((-N6*(N33+0.7*Q22))-N5*2.71828183^(-N6*(N33+0.7*Q22)))</f>
        <v>1.9724825653192477E-2</v>
      </c>
      <c r="S29" s="10">
        <f>(N33+0.7*Q22)</f>
        <v>74</v>
      </c>
    </row>
    <row r="30" spans="1:19" ht="13.8" thickTop="1" x14ac:dyDescent="0.25">
      <c r="A30" s="26"/>
      <c r="B30" s="23"/>
      <c r="C30" s="113">
        <f>((C26-C27)/(C28-C27))</f>
        <v>0.7704942599090987</v>
      </c>
      <c r="D30" s="102">
        <f>((D26-D27)/(D28-D27))</f>
        <v>0.82767400633824728</v>
      </c>
      <c r="E30" s="70"/>
      <c r="F30" s="70"/>
      <c r="G30" s="27"/>
      <c r="H30" s="10">
        <f>(-D5*D6)*2.71828183^((-D6*(D12+0.8*G22))-D5*2.71828183^(-D6*(D12+0.8*G22)))</f>
        <v>2.2649645423186138E-2</v>
      </c>
      <c r="I30" s="10">
        <f>(D12+0.8*G22)</f>
        <v>76</v>
      </c>
      <c r="K30" s="26"/>
      <c r="L30" s="8"/>
      <c r="M30" s="113">
        <f>((M26-M27)/(M28-M27))</f>
        <v>-13.553460823505754</v>
      </c>
      <c r="N30" s="102">
        <f>((N26-N27)/(N28-N27))</f>
        <v>-20.452839253206403</v>
      </c>
      <c r="O30" s="70"/>
      <c r="P30" s="109"/>
      <c r="Q30" s="109"/>
      <c r="R30" s="10">
        <f>(-N5*N6)*2.71828183^((-N6*(N33+0.8*Q22))-N5*2.71828183^(-N6*(N33+0.8*Q22)))</f>
        <v>2.2649645423186138E-2</v>
      </c>
      <c r="S30" s="10">
        <f>(N33+0.8*Q22)</f>
        <v>76</v>
      </c>
    </row>
    <row r="31" spans="1:19" ht="13.8" thickBot="1" x14ac:dyDescent="0.3">
      <c r="A31" s="125" t="s">
        <v>7</v>
      </c>
      <c r="B31" s="200"/>
      <c r="C31" s="113"/>
      <c r="D31" s="102"/>
      <c r="E31" s="70"/>
      <c r="F31" s="70"/>
      <c r="G31" s="27"/>
      <c r="H31" s="10">
        <f>(-D5*D6)*2.71828183^((-D6*(D12+0.9*G22))-D5*2.71828183^(-D6*(D12+0.9*G22)))</f>
        <v>2.5692792673695453E-2</v>
      </c>
      <c r="I31" s="10">
        <f>(D12+0.9*G22)</f>
        <v>78</v>
      </c>
      <c r="K31" s="125"/>
      <c r="L31" s="124"/>
      <c r="M31" s="113"/>
      <c r="N31" s="102"/>
      <c r="O31" s="70"/>
      <c r="P31" s="70"/>
      <c r="Q31" s="27"/>
      <c r="R31" s="10">
        <f>(-N5*N6)*2.71828183^((-N6*(N33+0.9*Q22))-N5*2.71828183^(-N6*(N33+0.9*Q22)))</f>
        <v>2.5692792673695453E-2</v>
      </c>
      <c r="S31" s="10">
        <f>(N33+0.9*Q22)</f>
        <v>78</v>
      </c>
    </row>
    <row r="32" spans="1:19" ht="14.4" thickTop="1" thickBot="1" x14ac:dyDescent="0.3">
      <c r="A32" s="125" t="s">
        <v>37</v>
      </c>
      <c r="B32" s="200"/>
      <c r="C32" s="35"/>
      <c r="D32" s="36"/>
      <c r="E32" s="70"/>
      <c r="F32" s="70"/>
      <c r="G32" s="27"/>
      <c r="H32" s="10">
        <f>(-D5*D6)*2.71828183^((-D6*(D12+1*G22))-D5*2.71828183^(-D6*(D12+1*G22)))</f>
        <v>2.8715901280318677E-2</v>
      </c>
      <c r="I32" s="10">
        <f>(D12+1*G22)</f>
        <v>80</v>
      </c>
      <c r="K32" s="125"/>
      <c r="L32" s="124"/>
      <c r="M32" s="35"/>
      <c r="N32" s="36"/>
      <c r="O32" s="103" t="s">
        <v>24</v>
      </c>
      <c r="P32" s="104" t="s">
        <v>22</v>
      </c>
      <c r="Q32" s="105" t="s">
        <v>23</v>
      </c>
      <c r="R32" s="10">
        <f>(-N5*N6)*2.71828183^((-N6*(N33+1*Q22))-N5*2.71828183^(-N6*(N33+1*Q22)))</f>
        <v>2.8715901280318677E-2</v>
      </c>
      <c r="S32" s="10">
        <f>(N33+1*Q22)</f>
        <v>80</v>
      </c>
    </row>
    <row r="33" spans="1:19" ht="18.600000000000001" thickTop="1" thickBot="1" x14ac:dyDescent="0.35">
      <c r="A33" s="125" t="s">
        <v>40</v>
      </c>
      <c r="B33" s="126"/>
      <c r="C33" s="127">
        <f>ROUND((100*C30),2)</f>
        <v>77.05</v>
      </c>
      <c r="D33" s="63">
        <f>ROUND((100*D30),2)</f>
        <v>82.77</v>
      </c>
      <c r="E33" s="70"/>
      <c r="F33" s="70"/>
      <c r="G33" s="27"/>
      <c r="K33" s="125" t="s">
        <v>49</v>
      </c>
      <c r="L33" s="126"/>
      <c r="M33" s="128">
        <f>ROUND(((LN((LN((K48-K47)*0.01*M12+K47))/-M5+1))/-M6),2)</f>
        <v>60</v>
      </c>
      <c r="N33" s="63">
        <f>ROUND(((LN((LN((L48-L47)*0.01*N12+L47))/-N5+1))/-N6),2)</f>
        <v>60</v>
      </c>
      <c r="O33" s="208" t="s">
        <v>30</v>
      </c>
      <c r="P33" s="62">
        <f>IF(M33=0,M9,ROUND(((R2*S2)+(R3*S3)+(R4*S4)+(R5*S5)+(R6*S6)+(R7*S7)+(R8*S8)+(R9*S9)+(R10*S10)+(R11*S11)+(R12*S12))/SUM(R2:R12)-M33,2))</f>
        <v>12.1</v>
      </c>
      <c r="Q33" s="62">
        <f>IF(N33=0,N9,ROUND(((R22*S22)+(R23*S23)+(R24*S24)+(R25*S25)+(R26*S26)+(R27*S27)+(R28*S28)+(R29*S29)+(R30*S30)+(R31*S31)+(R32*S32))/SUM(R22:R32)-N33,2))</f>
        <v>12.9</v>
      </c>
      <c r="R33" s="130"/>
      <c r="S33" s="73"/>
    </row>
    <row r="34" spans="1:19" ht="14.4" thickTop="1" thickBot="1" x14ac:dyDescent="0.3">
      <c r="A34" s="201" t="s">
        <v>41</v>
      </c>
      <c r="B34" s="38"/>
      <c r="C34" s="132"/>
      <c r="D34" s="133"/>
      <c r="E34" s="70"/>
      <c r="F34" s="70"/>
      <c r="G34" s="27"/>
      <c r="K34" s="125"/>
      <c r="L34" s="30"/>
      <c r="M34" s="132"/>
      <c r="N34" s="133"/>
      <c r="O34" s="70"/>
      <c r="P34" s="109"/>
      <c r="Q34" s="109"/>
    </row>
    <row r="35" spans="1:19" ht="13.8" thickTop="1" x14ac:dyDescent="0.25">
      <c r="A35" s="139" t="s">
        <v>17</v>
      </c>
      <c r="B35" s="135"/>
      <c r="C35" s="136"/>
      <c r="D35" s="137"/>
      <c r="E35" s="138"/>
      <c r="F35" s="70"/>
      <c r="G35" s="27"/>
      <c r="K35" s="139" t="s">
        <v>17</v>
      </c>
      <c r="L35" s="135"/>
      <c r="M35" s="136"/>
      <c r="N35" s="137"/>
      <c r="O35" s="138"/>
      <c r="P35" s="70"/>
      <c r="Q35" s="27"/>
    </row>
    <row r="36" spans="1:19" ht="17.399999999999999" x14ac:dyDescent="0.3">
      <c r="A36" s="141" t="s">
        <v>15</v>
      </c>
      <c r="B36" s="140"/>
      <c r="C36" s="190">
        <v>44.04</v>
      </c>
      <c r="D36" s="54">
        <f>(C36)</f>
        <v>44.04</v>
      </c>
      <c r="E36" s="75"/>
      <c r="F36" s="70"/>
      <c r="G36" s="27"/>
      <c r="K36" s="141" t="s">
        <v>15</v>
      </c>
      <c r="L36" s="140"/>
      <c r="M36" s="190">
        <v>44.04</v>
      </c>
      <c r="N36" s="191">
        <v>44.04</v>
      </c>
      <c r="O36" s="75"/>
      <c r="P36" s="70"/>
      <c r="Q36" s="27"/>
    </row>
    <row r="37" spans="1:19" ht="18" thickBot="1" x14ac:dyDescent="0.35">
      <c r="A37" s="146" t="s">
        <v>14</v>
      </c>
      <c r="B37" s="53"/>
      <c r="C37" s="182">
        <v>0</v>
      </c>
      <c r="D37" s="145">
        <f>(C37)</f>
        <v>0</v>
      </c>
      <c r="E37" s="70"/>
      <c r="F37" s="70"/>
      <c r="G37" s="27"/>
      <c r="K37" s="146" t="s">
        <v>14</v>
      </c>
      <c r="L37" s="144"/>
      <c r="M37" s="182">
        <v>0</v>
      </c>
      <c r="N37" s="183">
        <v>0</v>
      </c>
      <c r="O37" s="70"/>
      <c r="P37" s="70"/>
      <c r="Q37" s="27"/>
    </row>
    <row r="38" spans="1:19" ht="14.4" thickTop="1" thickBot="1" x14ac:dyDescent="0.3">
      <c r="A38" s="150"/>
      <c r="B38" s="147"/>
      <c r="C38" s="148">
        <f>((LN(((LN(C36*0.01))/-C5)+2.71828183^(-C6*C37)))/-C6)</f>
        <v>80.000494969373136</v>
      </c>
      <c r="D38" s="149">
        <f>((LN(((LN(C36*0.01))/-D5)+2.71828183^(-D6*D37)))/-D6)</f>
        <v>85.65704386508979</v>
      </c>
      <c r="E38" s="103" t="s">
        <v>24</v>
      </c>
      <c r="F38" s="104" t="s">
        <v>22</v>
      </c>
      <c r="G38" s="105" t="s">
        <v>23</v>
      </c>
      <c r="K38" s="150"/>
      <c r="L38" s="147"/>
      <c r="M38" s="148">
        <f>((LN(((LN(M36*0.01))/-M5)+2.71828183^(-M6*M37)))/-M6)</f>
        <v>80.000494969373136</v>
      </c>
      <c r="N38" s="149">
        <f>((LN(((LN(N36*0.01))/-N5)+2.71828183^(-N6*N37)))/-N6)</f>
        <v>85.65704386508979</v>
      </c>
      <c r="O38" s="103" t="s">
        <v>24</v>
      </c>
      <c r="P38" s="104" t="s">
        <v>22</v>
      </c>
      <c r="Q38" s="105" t="s">
        <v>23</v>
      </c>
    </row>
    <row r="39" spans="1:19" ht="18" thickTop="1" x14ac:dyDescent="0.3">
      <c r="A39" s="100" t="s">
        <v>16</v>
      </c>
      <c r="B39" s="152"/>
      <c r="C39" s="106">
        <f>ROUND(C38,2)</f>
        <v>80</v>
      </c>
      <c r="D39" s="72">
        <f>ROUND(D38,2)</f>
        <v>85.66</v>
      </c>
      <c r="E39" s="55" t="s">
        <v>25</v>
      </c>
      <c r="F39" s="71">
        <f>IF(C39=0,C9,ROUND(((((2.71828183^(LN(2.71828183*G3)-G4*2.71828183^(-G5*C39)))))),2))</f>
        <v>9.82</v>
      </c>
      <c r="G39" s="108">
        <f>IF(D39=0,D9,ROUND(((((2.71828183^(LN(2.71828183*G23)-G24*2.71828183^(-G25*D39)))))),2))</f>
        <v>8.43</v>
      </c>
      <c r="K39" s="100" t="s">
        <v>16</v>
      </c>
      <c r="L39" s="152"/>
      <c r="M39" s="106">
        <f>ROUND(M38,2)</f>
        <v>80</v>
      </c>
      <c r="N39" s="72">
        <f>ROUND(N38,2)</f>
        <v>85.66</v>
      </c>
      <c r="O39" s="55" t="s">
        <v>25</v>
      </c>
      <c r="P39" s="71">
        <f>IF(M39=0,M9,ROUND(((((2.71828183^(LN(2.71828183*Q3)-Q4*2.71828183^(-Q5*M39)))))),2))</f>
        <v>9.82</v>
      </c>
      <c r="Q39" s="108">
        <f>IF(N39=0,N9,ROUND(((((2.71828183^(LN(2.71828183*Q23)-Q24*2.71828183^(-Q25*N39)))))),2))</f>
        <v>8.43</v>
      </c>
    </row>
    <row r="40" spans="1:19" ht="13.8" thickBot="1" x14ac:dyDescent="0.3">
      <c r="A40" s="157" t="s">
        <v>12</v>
      </c>
      <c r="B40" s="153"/>
      <c r="C40" s="154"/>
      <c r="D40" s="155"/>
      <c r="E40" s="202"/>
      <c r="F40" s="55"/>
      <c r="G40" s="156"/>
      <c r="K40" s="157" t="s">
        <v>12</v>
      </c>
      <c r="L40" s="153"/>
      <c r="M40" s="154"/>
      <c r="N40" s="155"/>
      <c r="O40" s="202"/>
      <c r="P40" s="55"/>
      <c r="Q40" s="156"/>
    </row>
    <row r="41" spans="1:19" ht="14.4" thickTop="1" thickBot="1" x14ac:dyDescent="0.3">
      <c r="A41" s="164" t="s">
        <v>13</v>
      </c>
      <c r="B41" s="203"/>
      <c r="C41" s="203"/>
      <c r="D41" s="204"/>
      <c r="E41" s="161"/>
      <c r="F41" s="162"/>
      <c r="G41" s="163"/>
      <c r="H41" s="202"/>
      <c r="I41" s="55"/>
      <c r="J41" s="156"/>
      <c r="K41" s="164" t="s">
        <v>13</v>
      </c>
      <c r="L41" s="85"/>
      <c r="M41" s="85"/>
      <c r="N41" s="85"/>
      <c r="O41" s="161"/>
      <c r="P41" s="162"/>
      <c r="Q41" s="163"/>
    </row>
    <row r="42" spans="1:19" ht="13.8" thickTop="1" x14ac:dyDescent="0.25">
      <c r="H42" s="55"/>
      <c r="I42" s="90"/>
      <c r="J42" s="90"/>
      <c r="K42" s="87"/>
      <c r="L42" s="87"/>
      <c r="M42" s="87"/>
      <c r="N42" s="109"/>
      <c r="O42" s="27"/>
    </row>
    <row r="43" spans="1:19" x14ac:dyDescent="0.25">
      <c r="I43" s="90"/>
      <c r="J43" s="90"/>
      <c r="K43" s="90"/>
      <c r="L43" s="90"/>
      <c r="M43" s="90"/>
      <c r="N43" s="27"/>
      <c r="O43" s="27"/>
    </row>
    <row r="44" spans="1:19" x14ac:dyDescent="0.25">
      <c r="I44" s="167"/>
      <c r="J44" s="167"/>
      <c r="K44" s="167"/>
      <c r="L44" s="167"/>
      <c r="M44" s="167"/>
      <c r="N44" s="27"/>
      <c r="O44" s="27"/>
    </row>
    <row r="45" spans="1:19" x14ac:dyDescent="0.25">
      <c r="I45" s="168"/>
      <c r="J45" s="168"/>
      <c r="K45" s="205"/>
      <c r="L45" s="205"/>
      <c r="M45" s="168"/>
    </row>
    <row r="46" spans="1:19" x14ac:dyDescent="0.25">
      <c r="I46" s="70"/>
      <c r="J46" s="70"/>
      <c r="K46" s="173" t="s">
        <v>26</v>
      </c>
      <c r="L46" s="173"/>
      <c r="M46" s="70"/>
    </row>
    <row r="47" spans="1:19" x14ac:dyDescent="0.25">
      <c r="I47" s="174"/>
      <c r="J47" s="174"/>
      <c r="K47" s="175">
        <f>(2.71828183^(-M5*(2.71828183^(-M6*M19)-1)))</f>
        <v>0.44041593941908097</v>
      </c>
      <c r="L47" s="175">
        <f>(2.71828183^(-N5*(2.71828183^(-N6*N19)-1)))</f>
        <v>0.62350850501575783</v>
      </c>
      <c r="N47" s="70"/>
      <c r="O47" s="70"/>
    </row>
    <row r="48" spans="1:19" x14ac:dyDescent="0.25">
      <c r="I48" s="174"/>
      <c r="J48" s="174"/>
      <c r="K48" s="175">
        <f>(2.71828183^(-M5*(2.71828183^(-M6*M11)-1)))</f>
        <v>1</v>
      </c>
      <c r="L48" s="175">
        <f>(2.71828183^(-N5*(2.71828183^(-N6*N11)-1)))</f>
        <v>1</v>
      </c>
      <c r="N48" s="177"/>
      <c r="O48" s="177"/>
    </row>
    <row r="49" spans="11:15" x14ac:dyDescent="0.25">
      <c r="K49" s="173"/>
      <c r="L49" s="173"/>
      <c r="N49" s="177"/>
      <c r="O49" s="177"/>
    </row>
    <row r="50" spans="11:15" x14ac:dyDescent="0.25">
      <c r="K50" s="173"/>
      <c r="L50" s="173"/>
    </row>
  </sheetData>
  <sheetProtection algorithmName="SHA-512" hashValue="7jpKpU1Kw60u0DL/bEa9OXZzKFvMvsZKK6wAM2UPrAWVQakPoDi80U8EMPx+8zd0DsCr1iNlt3bL0njjhBkt0Q==" saltValue="vO/COWMaSWSbf4XphjGlXw==" spinCount="100000" sheet="1" objects="1" scenarios="1"/>
  <phoneticPr fontId="2" type="noConversion"/>
  <dataValidations count="4">
    <dataValidation type="decimal" allowBlank="1" showInputMessage="1" showErrorMessage="1" sqref="N37 C36 C37 M11 N11 M12 N12 M13 N13 M14 N14 M36 N36 M37 C11" xr:uid="{1E492E86-C1CC-4016-9DD2-C5C01D3C3C16}">
      <formula1>0</formula1>
      <formula2>100</formula2>
    </dataValidation>
    <dataValidation type="decimal" allowBlank="1" showInputMessage="1" showErrorMessage="1" sqref="C12" xr:uid="{AC9C17ED-0F6A-4688-9933-FEA0DA26EE33}">
      <formula1>C11</formula1>
      <formula2>C13</formula2>
    </dataValidation>
    <dataValidation type="decimal" allowBlank="1" showInputMessage="1" showErrorMessage="1" sqref="C13" xr:uid="{D82FE0D0-C2AE-49FA-941F-013E3267A01C}">
      <formula1>C11</formula1>
      <formula2>100</formula2>
    </dataValidation>
    <dataValidation type="decimal" allowBlank="1" showInputMessage="1" showErrorMessage="1" sqref="C14" xr:uid="{4B1D9A40-A71E-4F82-90C1-588FE2C69F82}">
      <formula1>C13</formula1>
      <formula2>100</formula2>
    </dataValidation>
  </dataValidations>
  <pageMargins left="0.78740157499999996" right="0.78740157499999996" top="0.984251969" bottom="0.984251969" header="0.4921259845" footer="0.4921259845"/>
  <pageSetup paperSize="9" orientation="portrait" horizontalDpi="4294967293" verticalDpi="4294967293" r:id="rId1"/>
  <headerFooter alignWithMargins="0"/>
  <ignoredErrors>
    <ignoredError sqref="F12:G12" formula="1"/>
  </ignoredError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vt:i4>
      </vt:variant>
      <vt:variant>
        <vt:lpstr>Benannte Bereiche</vt:lpstr>
      </vt:variant>
      <vt:variant>
        <vt:i4>1</vt:i4>
      </vt:variant>
    </vt:vector>
  </HeadingPairs>
  <TitlesOfParts>
    <vt:vector size="5" baseType="lpstr">
      <vt:lpstr>EINFÜHRUNG</vt:lpstr>
      <vt:lpstr>TABELLE 1 (J)</vt:lpstr>
      <vt:lpstr>TABELLE 2 (D)</vt:lpstr>
      <vt:lpstr>TABELLE 3 (F)</vt:lpstr>
      <vt:lpstr>EINFÜHRUNG!Druckbereich</vt:lpstr>
    </vt:vector>
  </TitlesOfParts>
  <Company>WB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Heinz Bangerter</dc:creator>
  <cp:lastModifiedBy>Heinz</cp:lastModifiedBy>
  <cp:lastPrinted>2018-09-13T15:42:31Z</cp:lastPrinted>
  <dcterms:created xsi:type="dcterms:W3CDTF">2010-10-23T11:26:03Z</dcterms:created>
  <dcterms:modified xsi:type="dcterms:W3CDTF">2018-09-13T16:18:56Z</dcterms:modified>
</cp:coreProperties>
</file>