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Heinz\Documents\"/>
    </mc:Choice>
  </mc:AlternateContent>
  <xr:revisionPtr revIDLastSave="0" documentId="13_ncr:1_{782EFD5C-1C5A-4A79-976B-700ED09F5FEC}" xr6:coauthVersionLast="36" xr6:coauthVersionMax="36" xr10:uidLastSave="{00000000-0000-0000-0000-000000000000}"/>
  <bookViews>
    <workbookView xWindow="32772" yWindow="32772" windowWidth="23040" windowHeight="9060" xr2:uid="{00000000-000D-0000-FFFF-FFFF00000000}"/>
  </bookViews>
  <sheets>
    <sheet name="EINFÜHRUNG" sheetId="6" r:id="rId1"/>
    <sheet name="TABELLE 1 (CH)" sheetId="1" r:id="rId2"/>
    <sheet name=" TABELLE 2 (RU)" sheetId="2" r:id="rId3"/>
    <sheet name="TABELLE 3 (USA)" sheetId="3" r:id="rId4"/>
  </sheets>
  <definedNames>
    <definedName name="_xlnm.Print_Area" localSheetId="0">EINFÜHRUNG!$A$1:$M$52</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22" i="3" l="1"/>
  <c r="M22" i="3"/>
  <c r="D22" i="3"/>
  <c r="C22" i="3"/>
  <c r="N22" i="2"/>
  <c r="M22" i="2"/>
  <c r="D22" i="2"/>
  <c r="C22" i="2"/>
  <c r="N22" i="1"/>
  <c r="M22" i="1"/>
  <c r="D22" i="1"/>
  <c r="C22" i="1"/>
  <c r="C55" i="1" l="1"/>
  <c r="N23" i="1" l="1"/>
  <c r="M23" i="1"/>
  <c r="F11" i="1" l="1"/>
  <c r="Q11" i="3" l="1"/>
  <c r="P11" i="3"/>
  <c r="F11" i="3"/>
  <c r="Q23" i="3"/>
  <c r="Q24" i="3"/>
  <c r="Q25" i="3"/>
  <c r="Q3" i="3"/>
  <c r="Q4" i="3"/>
  <c r="Q5" i="3"/>
  <c r="M5" i="3"/>
  <c r="N5" i="3"/>
  <c r="M6" i="3"/>
  <c r="N6" i="3"/>
  <c r="M7" i="3"/>
  <c r="N7" i="3"/>
  <c r="M8" i="3"/>
  <c r="N8" i="3"/>
  <c r="M9" i="3"/>
  <c r="N9" i="3"/>
  <c r="Q11" i="2"/>
  <c r="N5" i="2"/>
  <c r="N6" i="2"/>
  <c r="N7" i="2"/>
  <c r="N8" i="2"/>
  <c r="N9" i="2"/>
  <c r="M5" i="2"/>
  <c r="M6" i="2"/>
  <c r="M7" i="2"/>
  <c r="M8" i="2"/>
  <c r="M9" i="2"/>
  <c r="P11" i="2"/>
  <c r="Q23" i="2"/>
  <c r="Q24" i="2"/>
  <c r="Q25" i="2"/>
  <c r="Q3" i="2"/>
  <c r="Q4" i="2"/>
  <c r="Q5" i="2"/>
  <c r="F11" i="2"/>
  <c r="M48" i="1" l="1"/>
  <c r="N48" i="1"/>
  <c r="Q25" i="1"/>
  <c r="Q24" i="1"/>
  <c r="Q23" i="1"/>
  <c r="Q11" i="1"/>
  <c r="P11" i="1"/>
  <c r="M19" i="1"/>
  <c r="M5" i="1"/>
  <c r="N5" i="1"/>
  <c r="M6" i="1"/>
  <c r="N6" i="1"/>
  <c r="M7" i="1"/>
  <c r="N7" i="1"/>
  <c r="M8" i="1"/>
  <c r="N8" i="1"/>
  <c r="M9" i="1"/>
  <c r="N9" i="1"/>
  <c r="Q3" i="1"/>
  <c r="Q4" i="1"/>
  <c r="Q5" i="1"/>
  <c r="F45" i="1"/>
  <c r="F14" i="3"/>
  <c r="G13" i="3"/>
  <c r="F13" i="3"/>
  <c r="G13" i="2"/>
  <c r="F14" i="2"/>
  <c r="F13" i="2"/>
  <c r="C47" i="1"/>
  <c r="C46" i="1" s="1"/>
  <c r="F14" i="1"/>
  <c r="F13" i="1"/>
  <c r="H8" i="3"/>
  <c r="G2" i="3"/>
  <c r="H7" i="3" s="1"/>
  <c r="G2" i="2"/>
  <c r="I12" i="2" s="1"/>
  <c r="H5" i="2"/>
  <c r="I9" i="2"/>
  <c r="D37" i="2"/>
  <c r="D38" i="2"/>
  <c r="D39" i="2" s="1"/>
  <c r="G39" i="2" s="1"/>
  <c r="C38" i="2"/>
  <c r="C39" i="2" s="1"/>
  <c r="F39" i="2" s="1"/>
  <c r="D36" i="2"/>
  <c r="D26" i="2"/>
  <c r="D27" i="2"/>
  <c r="D28" i="2"/>
  <c r="C26" i="2"/>
  <c r="C27" i="2"/>
  <c r="C28" i="2"/>
  <c r="D25" i="2"/>
  <c r="D29" i="2"/>
  <c r="C25" i="2"/>
  <c r="C29" i="2"/>
  <c r="D23" i="2"/>
  <c r="C23" i="2"/>
  <c r="D18" i="2"/>
  <c r="D19" i="2" s="1"/>
  <c r="C18" i="2"/>
  <c r="C19" i="2" s="1"/>
  <c r="D14" i="2"/>
  <c r="G14" i="2"/>
  <c r="D12" i="2"/>
  <c r="D11" i="2"/>
  <c r="G11" i="2" s="1"/>
  <c r="D52" i="1"/>
  <c r="G2" i="1"/>
  <c r="H5" i="1" s="1"/>
  <c r="D12" i="1"/>
  <c r="D13" i="1"/>
  <c r="G13" i="1" s="1"/>
  <c r="L48" i="3"/>
  <c r="N19" i="3"/>
  <c r="N29" i="3" s="1"/>
  <c r="Q29" i="3" s="1"/>
  <c r="K48" i="3"/>
  <c r="M19" i="3"/>
  <c r="M29" i="3" s="1"/>
  <c r="P29" i="3" s="1"/>
  <c r="D12" i="3"/>
  <c r="D13" i="3"/>
  <c r="N19" i="1"/>
  <c r="D62" i="1"/>
  <c r="N38" i="3"/>
  <c r="N39" i="3" s="1"/>
  <c r="Q39" i="3" s="1"/>
  <c r="M38" i="3"/>
  <c r="M39" i="3" s="1"/>
  <c r="P39" i="3" s="1"/>
  <c r="D37" i="3"/>
  <c r="D38" i="3"/>
  <c r="D39" i="3" s="1"/>
  <c r="G39" i="3" s="1"/>
  <c r="N38" i="1"/>
  <c r="N39" i="1" s="1"/>
  <c r="Q39" i="1" s="1"/>
  <c r="N26" i="3"/>
  <c r="N27" i="3"/>
  <c r="N28" i="3"/>
  <c r="M26" i="3"/>
  <c r="M27" i="3"/>
  <c r="M28" i="3"/>
  <c r="N25" i="3"/>
  <c r="M25" i="3"/>
  <c r="N23" i="3"/>
  <c r="M23" i="3"/>
  <c r="N18" i="3"/>
  <c r="M18" i="3"/>
  <c r="N38" i="2"/>
  <c r="N39" i="2" s="1"/>
  <c r="Q39" i="2" s="1"/>
  <c r="M38" i="2"/>
  <c r="M39" i="2" s="1"/>
  <c r="P39" i="2" s="1"/>
  <c r="N19" i="2"/>
  <c r="Q19" i="2" s="1"/>
  <c r="M19" i="2"/>
  <c r="P19" i="2" s="1"/>
  <c r="N48" i="2"/>
  <c r="M48" i="2"/>
  <c r="N26" i="2"/>
  <c r="N27" i="2"/>
  <c r="N28" i="2"/>
  <c r="M26" i="2"/>
  <c r="M27" i="2"/>
  <c r="M28" i="2"/>
  <c r="N25" i="2"/>
  <c r="M25" i="2"/>
  <c r="N23" i="2"/>
  <c r="M23" i="2"/>
  <c r="N18" i="2"/>
  <c r="M18" i="2"/>
  <c r="D14" i="1"/>
  <c r="G14" i="1" s="1"/>
  <c r="D11" i="1"/>
  <c r="G11" i="1" s="1"/>
  <c r="C27" i="1"/>
  <c r="C25" i="1"/>
  <c r="C29" i="1" s="1"/>
  <c r="C28" i="1"/>
  <c r="C26" i="1"/>
  <c r="M25" i="1"/>
  <c r="M38" i="1"/>
  <c r="M39" i="1" s="1"/>
  <c r="P39" i="1" s="1"/>
  <c r="N27" i="1"/>
  <c r="N28" i="1"/>
  <c r="M26" i="1"/>
  <c r="M27" i="1"/>
  <c r="M28" i="1"/>
  <c r="N18" i="1"/>
  <c r="M18" i="1"/>
  <c r="D14" i="3"/>
  <c r="G14" i="3"/>
  <c r="C38" i="3"/>
  <c r="C39" i="3" s="1"/>
  <c r="F39" i="3" s="1"/>
  <c r="D11" i="3"/>
  <c r="G11" i="3" s="1"/>
  <c r="D36" i="3"/>
  <c r="D26" i="3"/>
  <c r="D27" i="3"/>
  <c r="D28" i="3"/>
  <c r="C26" i="3"/>
  <c r="C27" i="3"/>
  <c r="C28" i="3"/>
  <c r="D25" i="3"/>
  <c r="D29" i="3"/>
  <c r="C25" i="3"/>
  <c r="C29" i="3" s="1"/>
  <c r="D23" i="3"/>
  <c r="C23" i="3"/>
  <c r="D18" i="3"/>
  <c r="D19" i="3" s="1"/>
  <c r="C18" i="3"/>
  <c r="C19" i="3" s="1"/>
  <c r="D37" i="1"/>
  <c r="D38" i="1" s="1"/>
  <c r="D39" i="1" s="1"/>
  <c r="G39" i="1" s="1"/>
  <c r="C38" i="1"/>
  <c r="C39" i="1" s="1"/>
  <c r="F39" i="1" s="1"/>
  <c r="D23" i="1"/>
  <c r="C23" i="1"/>
  <c r="D36" i="1"/>
  <c r="C18" i="1"/>
  <c r="C19" i="1" s="1"/>
  <c r="D28" i="1"/>
  <c r="D26" i="1"/>
  <c r="D27" i="1"/>
  <c r="D25" i="1"/>
  <c r="D29" i="1" s="1"/>
  <c r="D18" i="1"/>
  <c r="D19" i="1" s="1"/>
  <c r="I4" i="3"/>
  <c r="I8" i="3"/>
  <c r="I12" i="3"/>
  <c r="I4" i="2"/>
  <c r="G22" i="2"/>
  <c r="H27" i="2"/>
  <c r="I5" i="3"/>
  <c r="H29" i="2"/>
  <c r="H25" i="2"/>
  <c r="I32" i="2"/>
  <c r="H30" i="2"/>
  <c r="I28" i="2"/>
  <c r="H31" i="2"/>
  <c r="H26" i="2"/>
  <c r="I24" i="2"/>
  <c r="H28" i="2"/>
  <c r="H24" i="2"/>
  <c r="H32" i="2"/>
  <c r="I23" i="2"/>
  <c r="I31" i="2"/>
  <c r="I27" i="2"/>
  <c r="H22" i="2"/>
  <c r="I29" i="2"/>
  <c r="H23" i="2"/>
  <c r="I30" i="2"/>
  <c r="I25" i="2"/>
  <c r="I26" i="2"/>
  <c r="I22" i="2"/>
  <c r="F55" i="1"/>
  <c r="N25" i="1"/>
  <c r="N26" i="1"/>
  <c r="I3" i="3" l="1"/>
  <c r="H4" i="3"/>
  <c r="H6" i="1"/>
  <c r="N30" i="3"/>
  <c r="N47" i="1"/>
  <c r="N33" i="1" s="1"/>
  <c r="Q19" i="1"/>
  <c r="H12" i="1"/>
  <c r="H9" i="1"/>
  <c r="H7" i="1"/>
  <c r="I5" i="1"/>
  <c r="I4" i="1"/>
  <c r="C30" i="1"/>
  <c r="C33" i="1" s="1"/>
  <c r="G22" i="3"/>
  <c r="I30" i="3" s="1"/>
  <c r="H11" i="3"/>
  <c r="H2" i="3"/>
  <c r="I2" i="3"/>
  <c r="H6" i="3"/>
  <c r="H9" i="3"/>
  <c r="H5" i="3"/>
  <c r="H28" i="3"/>
  <c r="I7" i="3"/>
  <c r="H3" i="3"/>
  <c r="H10" i="3"/>
  <c r="H23" i="3"/>
  <c r="I10" i="3"/>
  <c r="I11" i="3"/>
  <c r="I31" i="3"/>
  <c r="H22" i="3"/>
  <c r="I27" i="3"/>
  <c r="I23" i="3"/>
  <c r="I9" i="3"/>
  <c r="I6" i="3"/>
  <c r="H12" i="3"/>
  <c r="I29" i="3"/>
  <c r="H25" i="3"/>
  <c r="I32" i="3"/>
  <c r="H24" i="3"/>
  <c r="I25" i="3"/>
  <c r="D30" i="3"/>
  <c r="D33" i="3" s="1"/>
  <c r="H11" i="1"/>
  <c r="H3" i="1"/>
  <c r="I6" i="1"/>
  <c r="I8" i="1"/>
  <c r="I12" i="1"/>
  <c r="H4" i="1"/>
  <c r="I11" i="1"/>
  <c r="I3" i="1"/>
  <c r="H2" i="1"/>
  <c r="I7" i="1"/>
  <c r="I2" i="1"/>
  <c r="I9" i="1"/>
  <c r="H8" i="1"/>
  <c r="H10" i="1"/>
  <c r="G22" i="1"/>
  <c r="H29" i="1" s="1"/>
  <c r="I10" i="1"/>
  <c r="D30" i="1"/>
  <c r="D33" i="1" s="1"/>
  <c r="M47" i="1"/>
  <c r="M33" i="1" s="1"/>
  <c r="P19" i="1"/>
  <c r="M30" i="1"/>
  <c r="L47" i="3"/>
  <c r="N33" i="3" s="1"/>
  <c r="Q19" i="3"/>
  <c r="M30" i="3"/>
  <c r="K47" i="3"/>
  <c r="M33" i="3" s="1"/>
  <c r="P19" i="3"/>
  <c r="C30" i="3"/>
  <c r="C33" i="3" s="1"/>
  <c r="N30" i="1"/>
  <c r="N29" i="1"/>
  <c r="Q29" i="1" s="1"/>
  <c r="M29" i="1"/>
  <c r="P29" i="1" s="1"/>
  <c r="D30" i="2"/>
  <c r="D33" i="2" s="1"/>
  <c r="M29" i="2"/>
  <c r="P29" i="2" s="1"/>
  <c r="M30" i="2"/>
  <c r="N30" i="2"/>
  <c r="N47" i="2"/>
  <c r="N33" i="2" s="1"/>
  <c r="N29" i="2"/>
  <c r="Q29" i="2" s="1"/>
  <c r="M47" i="2"/>
  <c r="M33" i="2" s="1"/>
  <c r="I8" i="2"/>
  <c r="H8" i="2"/>
  <c r="I3" i="2"/>
  <c r="I7" i="2"/>
  <c r="H3" i="2"/>
  <c r="H9" i="2"/>
  <c r="I11" i="2"/>
  <c r="H7" i="2"/>
  <c r="I2" i="2"/>
  <c r="H4" i="2"/>
  <c r="H11" i="2"/>
  <c r="I6" i="2"/>
  <c r="H2" i="2"/>
  <c r="F12" i="2" s="1"/>
  <c r="I10" i="2"/>
  <c r="H6" i="2"/>
  <c r="H12" i="2"/>
  <c r="H10" i="2"/>
  <c r="I5" i="2"/>
  <c r="C30" i="2"/>
  <c r="C33" i="2" s="1"/>
  <c r="G12" i="2"/>
  <c r="D50" i="1"/>
  <c r="C56" i="1"/>
  <c r="C57" i="1"/>
  <c r="G45" i="1"/>
  <c r="H51" i="1" s="1"/>
  <c r="F47" i="1"/>
  <c r="D51" i="1"/>
  <c r="D47" i="1"/>
  <c r="C48" i="1"/>
  <c r="H27" i="3" l="1"/>
  <c r="Q22" i="3"/>
  <c r="R30" i="3" s="1"/>
  <c r="Q22" i="1"/>
  <c r="S29" i="1" s="1"/>
  <c r="F12" i="1"/>
  <c r="H29" i="3"/>
  <c r="I22" i="3"/>
  <c r="H32" i="3"/>
  <c r="I24" i="3"/>
  <c r="F12" i="3"/>
  <c r="H26" i="3"/>
  <c r="I26" i="3"/>
  <c r="H30" i="3"/>
  <c r="I28" i="3"/>
  <c r="H31" i="3"/>
  <c r="H28" i="1"/>
  <c r="I24" i="1"/>
  <c r="H30" i="1"/>
  <c r="I26" i="1"/>
  <c r="H27" i="1"/>
  <c r="I27" i="1"/>
  <c r="H23" i="1"/>
  <c r="I31" i="1"/>
  <c r="H24" i="1"/>
  <c r="H26" i="1"/>
  <c r="I32" i="1"/>
  <c r="H31" i="1"/>
  <c r="I30" i="1"/>
  <c r="I28" i="1"/>
  <c r="I25" i="1"/>
  <c r="I22" i="1"/>
  <c r="H22" i="1"/>
  <c r="I29" i="1"/>
  <c r="H32" i="1"/>
  <c r="I23" i="1"/>
  <c r="H25" i="1"/>
  <c r="Q2" i="3"/>
  <c r="S6" i="3" s="1"/>
  <c r="S4" i="3"/>
  <c r="R12" i="3"/>
  <c r="S12" i="3"/>
  <c r="R4" i="3"/>
  <c r="S22" i="3"/>
  <c r="R26" i="3"/>
  <c r="R24" i="3"/>
  <c r="S32" i="3"/>
  <c r="R31" i="3"/>
  <c r="R26" i="1"/>
  <c r="R23" i="1"/>
  <c r="R24" i="1"/>
  <c r="R22" i="1"/>
  <c r="Q2" i="1"/>
  <c r="R8" i="1" s="1"/>
  <c r="Q22" i="2"/>
  <c r="S31" i="2" s="1"/>
  <c r="Q2" i="2"/>
  <c r="S12" i="2" s="1"/>
  <c r="I53" i="1"/>
  <c r="I52" i="1"/>
  <c r="I47" i="1"/>
  <c r="I46" i="1"/>
  <c r="I49" i="1"/>
  <c r="H49" i="1"/>
  <c r="H46" i="1"/>
  <c r="I54" i="1"/>
  <c r="H54" i="1"/>
  <c r="H52" i="1"/>
  <c r="I45" i="1"/>
  <c r="H53" i="1"/>
  <c r="D48" i="1"/>
  <c r="C58" i="1"/>
  <c r="F48" i="1"/>
  <c r="D46" i="1"/>
  <c r="H50" i="1"/>
  <c r="H47" i="1"/>
  <c r="I51" i="1"/>
  <c r="H45" i="1"/>
  <c r="H55" i="1"/>
  <c r="H48" i="1"/>
  <c r="I55" i="1"/>
  <c r="I50" i="1"/>
  <c r="D57" i="1"/>
  <c r="D61" i="1"/>
  <c r="G61" i="1"/>
  <c r="I65" i="1" s="1"/>
  <c r="F57" i="1"/>
  <c r="I48" i="1"/>
  <c r="D60" i="1"/>
  <c r="S27" i="3" l="1"/>
  <c r="R32" i="3"/>
  <c r="S24" i="3"/>
  <c r="R22" i="3"/>
  <c r="S31" i="3"/>
  <c r="S29" i="3"/>
  <c r="S23" i="3"/>
  <c r="S30" i="3"/>
  <c r="S28" i="3"/>
  <c r="R7" i="3"/>
  <c r="S10" i="3"/>
  <c r="R6" i="3"/>
  <c r="S5" i="3"/>
  <c r="R10" i="3"/>
  <c r="R9" i="3"/>
  <c r="S11" i="3"/>
  <c r="S3" i="3"/>
  <c r="S7" i="3"/>
  <c r="R11" i="3"/>
  <c r="S9" i="3"/>
  <c r="R2" i="3"/>
  <c r="R29" i="3"/>
  <c r="R25" i="3"/>
  <c r="S25" i="3"/>
  <c r="R27" i="3"/>
  <c r="S26" i="3"/>
  <c r="R28" i="3"/>
  <c r="R23" i="3"/>
  <c r="R3" i="3"/>
  <c r="S8" i="3"/>
  <c r="R27" i="1"/>
  <c r="S30" i="1"/>
  <c r="R31" i="1"/>
  <c r="R30" i="1"/>
  <c r="R25" i="1"/>
  <c r="S26" i="1"/>
  <c r="S27" i="1"/>
  <c r="R29" i="1"/>
  <c r="S32" i="1"/>
  <c r="S24" i="1"/>
  <c r="S25" i="1"/>
  <c r="R32" i="1"/>
  <c r="S23" i="1"/>
  <c r="Q33" i="1" s="1"/>
  <c r="S28" i="1"/>
  <c r="R28" i="1"/>
  <c r="S31" i="1"/>
  <c r="S22" i="1"/>
  <c r="G12" i="3"/>
  <c r="G12" i="1"/>
  <c r="S9" i="1"/>
  <c r="R8" i="3"/>
  <c r="S2" i="3"/>
  <c r="R5" i="3"/>
  <c r="R6" i="1"/>
  <c r="R2" i="1"/>
  <c r="S8" i="1"/>
  <c r="R7" i="1"/>
  <c r="S4" i="1"/>
  <c r="R12" i="1"/>
  <c r="R11" i="1"/>
  <c r="S2" i="1"/>
  <c r="S10" i="1"/>
  <c r="S7" i="1"/>
  <c r="R5" i="1"/>
  <c r="S5" i="1"/>
  <c r="S3" i="1"/>
  <c r="R9" i="1"/>
  <c r="R3" i="1"/>
  <c r="S11" i="1"/>
  <c r="R10" i="1"/>
  <c r="S6" i="1"/>
  <c r="R4" i="1"/>
  <c r="S12" i="1"/>
  <c r="R26" i="2"/>
  <c r="S29" i="2"/>
  <c r="R8" i="2"/>
  <c r="R11" i="2"/>
  <c r="S5" i="2"/>
  <c r="S10" i="2"/>
  <c r="S8" i="2"/>
  <c r="S6" i="2"/>
  <c r="S7" i="2"/>
  <c r="R6" i="2"/>
  <c r="R12" i="2"/>
  <c r="S2" i="2"/>
  <c r="R7" i="2"/>
  <c r="R4" i="2"/>
  <c r="R2" i="2"/>
  <c r="R22" i="2"/>
  <c r="R32" i="2"/>
  <c r="S23" i="2"/>
  <c r="R27" i="2"/>
  <c r="H63" i="1"/>
  <c r="R28" i="2"/>
  <c r="R24" i="2"/>
  <c r="R29" i="2"/>
  <c r="S22" i="2"/>
  <c r="R31" i="2"/>
  <c r="H67" i="1"/>
  <c r="S25" i="2"/>
  <c r="R30" i="2"/>
  <c r="S26" i="2"/>
  <c r="S32" i="2"/>
  <c r="S30" i="2"/>
  <c r="S28" i="2"/>
  <c r="R23" i="2"/>
  <c r="S27" i="2"/>
  <c r="S24" i="2"/>
  <c r="R25" i="2"/>
  <c r="S4" i="2"/>
  <c r="R9" i="2"/>
  <c r="S9" i="2"/>
  <c r="R5" i="2"/>
  <c r="R10" i="2"/>
  <c r="S3" i="2"/>
  <c r="S11" i="2"/>
  <c r="R3" i="2"/>
  <c r="H62" i="1"/>
  <c r="H64" i="1"/>
  <c r="I63" i="1"/>
  <c r="I71" i="1"/>
  <c r="H71" i="1"/>
  <c r="I70" i="1"/>
  <c r="H61" i="1"/>
  <c r="H70" i="1"/>
  <c r="I66" i="1"/>
  <c r="F46" i="1"/>
  <c r="D56" i="1"/>
  <c r="I69" i="1"/>
  <c r="I67" i="1"/>
  <c r="H69" i="1"/>
  <c r="H68" i="1"/>
  <c r="I62" i="1"/>
  <c r="H65" i="1"/>
  <c r="D58" i="1"/>
  <c r="F58" i="1"/>
  <c r="H66" i="1"/>
  <c r="I64" i="1"/>
  <c r="I61" i="1"/>
  <c r="I68" i="1"/>
  <c r="Q33" i="3" l="1"/>
  <c r="P33" i="3"/>
  <c r="P33" i="1"/>
  <c r="Q33" i="2"/>
  <c r="P33" i="2"/>
  <c r="F56" i="1"/>
</calcChain>
</file>

<file path=xl/sharedStrings.xml><?xml version="1.0" encoding="utf-8"?>
<sst xmlns="http://schemas.openxmlformats.org/spreadsheetml/2006/main" count="402" uniqueCount="93">
  <si>
    <t>Konstantentherm A =</t>
  </si>
  <si>
    <t>Regressionskoeffizient B =</t>
  </si>
  <si>
    <t>wahrscheinlichkeit des</t>
  </si>
  <si>
    <t>Spezifische Überlebens -</t>
  </si>
  <si>
    <t xml:space="preserve">wahrscheinlichkeit des </t>
  </si>
  <si>
    <t>RESULTATE:</t>
  </si>
  <si>
    <t>Überlebens -</t>
  </si>
  <si>
    <r>
      <t>Sterbealter (</t>
    </r>
    <r>
      <rPr>
        <u/>
        <sz val="10"/>
        <color indexed="17"/>
        <rFont val="Arial"/>
        <family val="2"/>
      </rPr>
      <t>ZA</t>
    </r>
    <r>
      <rPr>
        <sz val="10"/>
        <color indexed="17"/>
        <rFont val="Arial"/>
        <family val="2"/>
      </rPr>
      <t xml:space="preserve"> + n) Jahre</t>
    </r>
  </si>
  <si>
    <r>
      <t>ZielAlter (</t>
    </r>
    <r>
      <rPr>
        <u/>
        <sz val="10"/>
        <color indexed="10"/>
        <rFont val="Arial"/>
        <family val="2"/>
      </rPr>
      <t>ZA</t>
    </r>
    <r>
      <rPr>
        <sz val="10"/>
        <color indexed="10"/>
        <rFont val="Arial"/>
        <family val="2"/>
      </rPr>
      <t xml:space="preserve"> ≥ (</t>
    </r>
    <r>
      <rPr>
        <u/>
        <sz val="10"/>
        <color indexed="10"/>
        <rFont val="Arial"/>
        <family val="2"/>
      </rPr>
      <t>AA</t>
    </r>
    <r>
      <rPr>
        <sz val="10"/>
        <color indexed="10"/>
        <rFont val="Arial"/>
        <family val="2"/>
      </rPr>
      <t xml:space="preserve"> + m)) J.</t>
    </r>
  </si>
  <si>
    <r>
      <t>Sterbealter (</t>
    </r>
    <r>
      <rPr>
        <u/>
        <sz val="10"/>
        <color indexed="20"/>
        <rFont val="Arial"/>
        <family val="2"/>
      </rPr>
      <t>AA</t>
    </r>
    <r>
      <rPr>
        <sz val="10"/>
        <color indexed="20"/>
        <rFont val="Arial"/>
        <family val="2"/>
      </rPr>
      <t xml:space="preserve"> + m) Jahre</t>
    </r>
  </si>
  <si>
    <r>
      <t>A</t>
    </r>
    <r>
      <rPr>
        <sz val="10"/>
        <color indexed="12"/>
        <rFont val="Arial"/>
        <family val="2"/>
      </rPr>
      <t xml:space="preserve">ktuelles </t>
    </r>
    <r>
      <rPr>
        <u/>
        <sz val="10"/>
        <color indexed="12"/>
        <rFont val="Arial"/>
        <family val="2"/>
      </rPr>
      <t>A</t>
    </r>
    <r>
      <rPr>
        <sz val="10"/>
        <color indexed="12"/>
        <rFont val="Arial"/>
        <family val="2"/>
      </rPr>
      <t>lter (AA ≥ 0 J.)</t>
    </r>
  </si>
  <si>
    <t>Vorgabe-% überschritten</t>
  </si>
  <si>
    <r>
      <t>Merke:</t>
    </r>
    <r>
      <rPr>
        <sz val="10"/>
        <rFont val="Arial"/>
        <family val="2"/>
      </rPr>
      <t xml:space="preserve"> Vorgaben immer nur in den hellgrünen Feldern!</t>
    </r>
  </si>
  <si>
    <t>&gt;für aktuelles Alter … (J)</t>
  </si>
  <si>
    <t>&gt;Überlebensw - keit…(%)</t>
  </si>
  <si>
    <t>&gt;Gesuchtes Alter (J.) mit</t>
  </si>
  <si>
    <t>UMGEKEHRTE VORGABE:</t>
  </si>
  <si>
    <t>INDIVIDUELLE VORGABEN ZUR ABFRAGE:</t>
  </si>
  <si>
    <t>Häufigstes Sterbealter xs</t>
  </si>
  <si>
    <t>Mittl. arithm. Sterbealter xap</t>
  </si>
  <si>
    <t>NORMALTAFEL (5 x 1)</t>
  </si>
  <si>
    <t>Männer</t>
  </si>
  <si>
    <t>Frauen</t>
  </si>
  <si>
    <t>Restleben (xap)</t>
  </si>
  <si>
    <t>&gt;&gt;&gt;&gt;&gt;&gt;&gt;&gt;&gt;&gt;&gt;&gt;</t>
  </si>
  <si>
    <t xml:space="preserve">               Hilfsformeln</t>
  </si>
  <si>
    <t>A0</t>
  </si>
  <si>
    <t>A1</t>
  </si>
  <si>
    <t>A2</t>
  </si>
  <si>
    <t>A3</t>
  </si>
  <si>
    <t>C26</t>
  </si>
  <si>
    <t>C27</t>
  </si>
  <si>
    <t>C28</t>
  </si>
  <si>
    <t>Überleben (%)</t>
  </si>
  <si>
    <t>Alter (J)</t>
  </si>
  <si>
    <t>Hilfswerte:</t>
  </si>
  <si>
    <t>D26</t>
  </si>
  <si>
    <t>D27</t>
  </si>
  <si>
    <t>D28</t>
  </si>
  <si>
    <t>A0 = aktuell</t>
  </si>
  <si>
    <t>eingeben &gt;&gt;</t>
  </si>
  <si>
    <t xml:space="preserve">                          Mittleres Restleben (Jahre)</t>
  </si>
  <si>
    <r>
      <t xml:space="preserve">…. </t>
    </r>
    <r>
      <rPr>
        <b/>
        <u/>
        <sz val="10"/>
        <rFont val="Arial"/>
        <family val="2"/>
      </rPr>
      <t>nach</t>
    </r>
    <r>
      <rPr>
        <sz val="10"/>
        <rFont val="Arial"/>
        <family val="2"/>
      </rPr>
      <t xml:space="preserve"> A1 =</t>
    </r>
  </si>
  <si>
    <r>
      <t xml:space="preserve">…. </t>
    </r>
    <r>
      <rPr>
        <b/>
        <u/>
        <sz val="10"/>
        <rFont val="Arial"/>
        <family val="2"/>
      </rPr>
      <t>nach</t>
    </r>
    <r>
      <rPr>
        <sz val="10"/>
        <rFont val="Arial"/>
        <family val="2"/>
      </rPr>
      <t xml:space="preserve"> A3 =</t>
    </r>
  </si>
  <si>
    <r>
      <t xml:space="preserve">…. </t>
    </r>
    <r>
      <rPr>
        <b/>
        <u/>
        <sz val="10"/>
        <rFont val="Arial"/>
        <family val="2"/>
      </rPr>
      <t>nach</t>
    </r>
    <r>
      <rPr>
        <sz val="10"/>
        <rFont val="Arial"/>
        <family val="2"/>
      </rPr>
      <t xml:space="preserve"> A2 =</t>
    </r>
  </si>
  <si>
    <r>
      <t xml:space="preserve">…. </t>
    </r>
    <r>
      <rPr>
        <b/>
        <u/>
        <sz val="10"/>
        <rFont val="Arial"/>
        <family val="2"/>
      </rPr>
      <t>nach</t>
    </r>
    <r>
      <rPr>
        <sz val="10"/>
        <rFont val="Arial"/>
        <family val="2"/>
      </rPr>
      <t xml:space="preserve"> A0 =</t>
    </r>
  </si>
  <si>
    <t>TREND PR degressiv --&gt; Ks =</t>
  </si>
  <si>
    <t xml:space="preserve">          B =</t>
  </si>
  <si>
    <t xml:space="preserve">          A =</t>
  </si>
  <si>
    <t xml:space="preserve">                          Zufallsalter Männer --&gt; ÜL?</t>
  </si>
  <si>
    <t xml:space="preserve">                          Zufallsalter Frauen --&gt; ÜL?</t>
  </si>
  <si>
    <t>Spezialfall &gt;&gt;&gt;&gt;</t>
  </si>
  <si>
    <t xml:space="preserve">                  A =</t>
  </si>
  <si>
    <t xml:space="preserve">                  B =</t>
  </si>
  <si>
    <t>TREND PR degressiv --&gt;     Ks =</t>
  </si>
  <si>
    <t>TREND PR degressiv --&gt;    Ks =</t>
  </si>
  <si>
    <t>TREND PR degressiv --&gt;  Ks =</t>
  </si>
  <si>
    <t>Zielalters (ZA)</t>
  </si>
  <si>
    <t>aktuellen Alters (AA)</t>
  </si>
  <si>
    <t>(gültig bis AA ~ ≤ 100 J)</t>
  </si>
  <si>
    <t>wahrscheinlichkeit</t>
  </si>
  <si>
    <t>des (erhöhten)</t>
  </si>
  <si>
    <t>Sterbealters (ZA + n)</t>
  </si>
  <si>
    <t>des (reduzierten)</t>
  </si>
  <si>
    <t>Sterbealters (AA + m)</t>
  </si>
  <si>
    <t>Vorgabe aktuelles Alter (AA ≥ 0 J.)</t>
  </si>
  <si>
    <t>Vorgabe Überschreitungsw.(%) für NICHT - Überlebende des ZA --&gt; reduz. ZA =?</t>
  </si>
  <si>
    <t xml:space="preserve">Vorgabe Überschreitungsw. (%), ab AA --&gt; Zielalter (ZA) =? </t>
  </si>
  <si>
    <t>Vorgabe Überschreitungsw. (%) für Überlebende des ZA --&gt; erhöhtes ZA =?</t>
  </si>
  <si>
    <t>Gesuchtes Zielalter (J)</t>
  </si>
  <si>
    <t>Spezifische Überlebenswahrscheinlichkeit des aktuellen Alters (%)</t>
  </si>
  <si>
    <t>Gesuchtes erhöhtes Zielalter (J)</t>
  </si>
  <si>
    <t>Gesuchtes reduziertes Zielalter (J)</t>
  </si>
  <si>
    <r>
      <t>Korrelationskoeffizient Ir</t>
    </r>
    <r>
      <rPr>
        <sz val="10"/>
        <rFont val="Calibri"/>
        <family val="2"/>
      </rPr>
      <t>I</t>
    </r>
    <r>
      <rPr>
        <sz val="10"/>
        <rFont val="Arial"/>
        <family val="2"/>
      </rPr>
      <t xml:space="preserve"> =</t>
    </r>
  </si>
  <si>
    <t>MÄNNER UND FRAUEN 2016 SCHWEIZ</t>
  </si>
  <si>
    <t>Männer 2016</t>
  </si>
  <si>
    <t>Frauen 2016</t>
  </si>
  <si>
    <t>MÄNNER UND FRAUEN 2014 RUSSLAND</t>
  </si>
  <si>
    <t>Männer 2014</t>
  </si>
  <si>
    <t>Frauen 2014</t>
  </si>
  <si>
    <t>Korrelationskoeffizient IrI =</t>
  </si>
  <si>
    <t>MÄNNER UND FRAUEN 2016 USA</t>
  </si>
  <si>
    <t>STATISTISCHE WERTE:</t>
  </si>
  <si>
    <t>STATISTISCHE WERTE (Summenkurve linksschief - steigend):</t>
  </si>
  <si>
    <t>(SK rechtsschief -</t>
  </si>
  <si>
    <t>fallend)</t>
  </si>
  <si>
    <t>Restleben für (ZA-AA) Männer:</t>
  </si>
  <si>
    <t>Restleben für (ZA-AA) Frauen:</t>
  </si>
  <si>
    <t>Restleben für(ZA-AA) Männer:</t>
  </si>
  <si>
    <t>(ZA-AA) Frauen</t>
  </si>
  <si>
    <t>www.mortality.org</t>
  </si>
  <si>
    <t>http://www.lebenserwartung.info/index-Dateien/sterbetafel.htm</t>
  </si>
  <si>
    <r>
      <rPr>
        <sz val="10"/>
        <color rgb="FFFF0000"/>
        <rFont val="Arial"/>
        <family val="2"/>
      </rPr>
      <t>***hier klicken:</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</si>
</sst>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0"/>
      <name val="Arial"/>
    </font>
    <font>
      <sz val="10"/>
      <name val="Arial"/>
      <family val="2"/>
    </font>
    <font>
      <sz val="8"/>
      <name val="Arial"/>
      <family val="2"/>
    </font>
    <font>
      <sz val="10"/>
      <color indexed="10"/>
      <name val="Arial"/>
      <family val="2"/>
    </font>
    <font>
      <sz val="10"/>
      <color indexed="12"/>
      <name val="Arial"/>
      <family val="2"/>
    </font>
    <font>
      <b/>
      <sz val="10"/>
      <color indexed="10"/>
      <name val="Arial"/>
      <family val="2"/>
    </font>
    <font>
      <b/>
      <sz val="10"/>
      <name val="Arial"/>
      <family val="2"/>
    </font>
    <font>
      <b/>
      <sz val="10"/>
      <color indexed="12"/>
      <name val="Arial"/>
      <family val="2"/>
    </font>
    <font>
      <sz val="10"/>
      <name val="Arial"/>
      <family val="2"/>
    </font>
    <font>
      <u/>
      <sz val="10"/>
      <color indexed="12"/>
      <name val="Arial"/>
      <family val="2"/>
    </font>
    <font>
      <sz val="10"/>
      <color indexed="57"/>
      <name val="Arial"/>
      <family val="2"/>
    </font>
    <font>
      <b/>
      <sz val="14"/>
      <color indexed="12"/>
      <name val="Arial"/>
      <family val="2"/>
    </font>
    <font>
      <b/>
      <sz val="14"/>
      <color indexed="10"/>
      <name val="Arial"/>
      <family val="2"/>
    </font>
    <font>
      <sz val="10"/>
      <color indexed="17"/>
      <name val="Arial"/>
      <family val="2"/>
    </font>
    <font>
      <sz val="10"/>
      <color indexed="20"/>
      <name val="Arial"/>
      <family val="2"/>
    </font>
    <font>
      <u/>
      <sz val="10"/>
      <color indexed="20"/>
      <name val="Arial"/>
      <family val="2"/>
    </font>
    <font>
      <b/>
      <sz val="10"/>
      <color indexed="17"/>
      <name val="Arial"/>
      <family val="2"/>
    </font>
    <font>
      <b/>
      <sz val="10"/>
      <color indexed="20"/>
      <name val="Arial"/>
      <family val="2"/>
    </font>
    <font>
      <b/>
      <u/>
      <sz val="10"/>
      <color indexed="20"/>
      <name val="Arial"/>
      <family val="2"/>
    </font>
    <font>
      <sz val="10"/>
      <color indexed="17"/>
      <name val="Arial"/>
      <family val="2"/>
    </font>
    <font>
      <b/>
      <sz val="14"/>
      <color indexed="17"/>
      <name val="Arial"/>
      <family val="2"/>
    </font>
    <font>
      <u/>
      <sz val="10"/>
      <color indexed="17"/>
      <name val="Arial"/>
      <family val="2"/>
    </font>
    <font>
      <b/>
      <sz val="14"/>
      <color indexed="17"/>
      <name val="Arial"/>
      <family val="2"/>
    </font>
    <font>
      <u/>
      <sz val="10"/>
      <color indexed="10"/>
      <name val="Arial"/>
      <family val="2"/>
    </font>
    <font>
      <b/>
      <sz val="14"/>
      <color indexed="10"/>
      <name val="Arial"/>
      <family val="2"/>
    </font>
    <font>
      <b/>
      <sz val="14"/>
      <color indexed="20"/>
      <name val="Arial"/>
      <family val="2"/>
    </font>
    <font>
      <b/>
      <sz val="14"/>
      <color indexed="20"/>
      <name val="Arial"/>
      <family val="2"/>
    </font>
    <font>
      <sz val="10"/>
      <color indexed="63"/>
      <name val="Arial"/>
      <family val="2"/>
    </font>
    <font>
      <sz val="10"/>
      <color indexed="63"/>
      <name val="Arial"/>
      <family val="2"/>
    </font>
    <font>
      <b/>
      <sz val="14"/>
      <name val="Arial"/>
      <family val="2"/>
    </font>
    <font>
      <sz val="10"/>
      <color indexed="10"/>
      <name val="Arial"/>
      <family val="2"/>
    </font>
    <font>
      <sz val="11"/>
      <name val="Arial"/>
      <family val="2"/>
    </font>
    <font>
      <b/>
      <sz val="11"/>
      <name val="Arial"/>
      <family val="2"/>
    </font>
    <font>
      <sz val="10"/>
      <color indexed="20"/>
      <name val="Arial"/>
      <family val="2"/>
    </font>
    <font>
      <sz val="10"/>
      <color indexed="12"/>
      <name val="Arial"/>
      <family val="2"/>
    </font>
    <font>
      <b/>
      <u/>
      <sz val="10"/>
      <name val="Arial"/>
      <family val="2"/>
    </font>
    <font>
      <sz val="10"/>
      <name val="Calibri"/>
      <family val="2"/>
    </font>
    <font>
      <sz val="10"/>
      <color theme="0"/>
      <name val="Arial"/>
      <family val="2"/>
    </font>
    <font>
      <b/>
      <sz val="10"/>
      <color theme="0"/>
      <name val="Arial"/>
      <family val="2"/>
    </font>
    <font>
      <u/>
      <sz val="10"/>
      <color theme="10"/>
      <name val="Arial"/>
      <family val="2"/>
    </font>
    <font>
      <u/>
      <sz val="12"/>
      <color rgb="FF0000FF"/>
      <name val="Arial"/>
      <family val="2"/>
    </font>
    <font>
      <sz val="10"/>
      <color rgb="FFFF0000"/>
      <name val="Arial"/>
      <family val="2"/>
    </font>
  </fonts>
  <fills count="12">
    <fill>
      <patternFill patternType="none"/>
    </fill>
    <fill>
      <patternFill patternType="gray125"/>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63"/>
        <bgColor indexed="64"/>
      </patternFill>
    </fill>
    <fill>
      <patternFill patternType="solid">
        <fgColor indexed="50"/>
        <bgColor indexed="64"/>
      </patternFill>
    </fill>
    <fill>
      <patternFill patternType="solid">
        <fgColor indexed="17"/>
        <bgColor indexed="64"/>
      </patternFill>
    </fill>
    <fill>
      <patternFill patternType="solid">
        <fgColor indexed="46"/>
        <bgColor indexed="64"/>
      </patternFill>
    </fill>
    <fill>
      <patternFill patternType="solid">
        <fgColor indexed="51"/>
        <bgColor indexed="64"/>
      </patternFill>
    </fill>
    <fill>
      <patternFill patternType="solid">
        <fgColor indexed="55"/>
        <bgColor indexed="64"/>
      </patternFill>
    </fill>
    <fill>
      <patternFill patternType="solid">
        <fgColor theme="0"/>
        <bgColor indexed="64"/>
      </patternFill>
    </fill>
  </fills>
  <borders count="21">
    <border>
      <left/>
      <right/>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right/>
      <top/>
      <bottom style="thin">
        <color indexed="64"/>
      </bottom>
      <diagonal/>
    </border>
    <border>
      <left/>
      <right/>
      <top style="thin">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n">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39" fillId="0" borderId="0" applyNumberFormat="0" applyFill="0" applyBorder="0" applyAlignment="0" applyProtection="0"/>
  </cellStyleXfs>
  <cellXfs count="230">
    <xf numFmtId="0" fontId="0" fillId="0" borderId="0" xfId="0"/>
    <xf numFmtId="0" fontId="0" fillId="11" borderId="0" xfId="0" applyFill="1" applyBorder="1"/>
    <xf numFmtId="0" fontId="0" fillId="0" borderId="0" xfId="0" applyProtection="1">
      <protection hidden="1"/>
    </xf>
    <xf numFmtId="0" fontId="32" fillId="0" borderId="0" xfId="0" applyFont="1" applyProtection="1">
      <protection hidden="1"/>
    </xf>
    <xf numFmtId="0" fontId="32" fillId="8" borderId="9" xfId="0" applyFont="1" applyFill="1" applyBorder="1" applyProtection="1">
      <protection hidden="1"/>
    </xf>
    <xf numFmtId="0" fontId="32" fillId="8" borderId="10" xfId="0" applyFont="1" applyFill="1" applyBorder="1" applyProtection="1">
      <protection hidden="1"/>
    </xf>
    <xf numFmtId="0" fontId="32" fillId="8" borderId="11" xfId="0" applyFont="1" applyFill="1" applyBorder="1" applyProtection="1">
      <protection hidden="1"/>
    </xf>
    <xf numFmtId="0" fontId="1" fillId="4" borderId="0" xfId="0" applyFont="1" applyFill="1" applyProtection="1">
      <protection hidden="1"/>
    </xf>
    <xf numFmtId="0" fontId="0" fillId="4" borderId="0" xfId="0" applyFill="1" applyProtection="1">
      <protection hidden="1"/>
    </xf>
    <xf numFmtId="0" fontId="0" fillId="4" borderId="0" xfId="0" applyFill="1" applyAlignment="1" applyProtection="1">
      <alignment horizontal="center"/>
      <protection hidden="1"/>
    </xf>
    <xf numFmtId="0" fontId="37" fillId="0" borderId="0" xfId="0" applyFont="1" applyFill="1" applyAlignment="1" applyProtection="1">
      <alignment horizontal="center"/>
      <protection hidden="1"/>
    </xf>
    <xf numFmtId="0" fontId="32" fillId="8" borderId="12" xfId="0" applyFont="1" applyFill="1" applyBorder="1" applyProtection="1">
      <protection hidden="1"/>
    </xf>
    <xf numFmtId="0" fontId="31" fillId="8" borderId="13" xfId="0" applyFont="1" applyFill="1" applyBorder="1" applyProtection="1">
      <protection hidden="1"/>
    </xf>
    <xf numFmtId="0" fontId="31" fillId="8" borderId="14" xfId="0" applyFont="1" applyFill="1" applyBorder="1" applyProtection="1">
      <protection hidden="1"/>
    </xf>
    <xf numFmtId="0" fontId="0" fillId="10" borderId="0" xfId="0" applyFill="1" applyProtection="1">
      <protection hidden="1"/>
    </xf>
    <xf numFmtId="0" fontId="0" fillId="10" borderId="0" xfId="0" applyFill="1" applyAlignment="1" applyProtection="1">
      <alignment horizontal="center"/>
      <protection hidden="1"/>
    </xf>
    <xf numFmtId="0" fontId="6" fillId="4" borderId="3" xfId="0" applyFont="1" applyFill="1" applyBorder="1" applyProtection="1">
      <protection hidden="1"/>
    </xf>
    <xf numFmtId="0" fontId="1" fillId="4" borderId="5" xfId="0" applyFont="1" applyFill="1" applyBorder="1" applyProtection="1">
      <protection hidden="1"/>
    </xf>
    <xf numFmtId="0" fontId="8" fillId="4" borderId="3" xfId="0" applyFont="1" applyFill="1" applyBorder="1" applyAlignment="1" applyProtection="1">
      <alignment horizontal="center"/>
      <protection hidden="1"/>
    </xf>
    <xf numFmtId="0" fontId="8" fillId="4" borderId="4" xfId="0" applyFont="1" applyFill="1" applyBorder="1" applyProtection="1">
      <protection hidden="1"/>
    </xf>
    <xf numFmtId="0" fontId="0" fillId="10" borderId="0" xfId="0" applyFill="1" applyBorder="1" applyAlignment="1" applyProtection="1">
      <alignment horizontal="center"/>
      <protection hidden="1"/>
    </xf>
    <xf numFmtId="0" fontId="6" fillId="4" borderId="19" xfId="0" applyFont="1" applyFill="1" applyBorder="1" applyProtection="1">
      <protection hidden="1"/>
    </xf>
    <xf numFmtId="0" fontId="0" fillId="4" borderId="1" xfId="0" applyFill="1" applyBorder="1" applyProtection="1">
      <protection hidden="1"/>
    </xf>
    <xf numFmtId="0" fontId="0" fillId="4" borderId="0" xfId="0" applyFill="1" applyBorder="1" applyProtection="1">
      <protection hidden="1"/>
    </xf>
    <xf numFmtId="0" fontId="1" fillId="2" borderId="1" xfId="0" applyFont="1" applyFill="1" applyBorder="1" applyAlignment="1" applyProtection="1">
      <alignment horizontal="center"/>
      <protection hidden="1"/>
    </xf>
    <xf numFmtId="0" fontId="8" fillId="3" borderId="2" xfId="0" applyFont="1" applyFill="1" applyBorder="1" applyAlignment="1" applyProtection="1">
      <alignment horizontal="center"/>
      <protection hidden="1"/>
    </xf>
    <xf numFmtId="0" fontId="1" fillId="3" borderId="2" xfId="0" applyFont="1" applyFill="1" applyBorder="1" applyAlignment="1" applyProtection="1">
      <alignment horizontal="center"/>
      <protection hidden="1"/>
    </xf>
    <xf numFmtId="0" fontId="0" fillId="0" borderId="0" xfId="0" applyFill="1" applyProtection="1">
      <protection hidden="1"/>
    </xf>
    <xf numFmtId="0" fontId="0" fillId="0" borderId="0" xfId="0" applyFill="1" applyAlignment="1" applyProtection="1">
      <alignment horizontal="center"/>
      <protection hidden="1"/>
    </xf>
    <xf numFmtId="0" fontId="1" fillId="4" borderId="1" xfId="0" applyFont="1" applyFill="1" applyBorder="1" applyProtection="1">
      <protection hidden="1"/>
    </xf>
    <xf numFmtId="0" fontId="6" fillId="4" borderId="0" xfId="0" applyFont="1" applyFill="1" applyBorder="1" applyProtection="1">
      <protection hidden="1"/>
    </xf>
    <xf numFmtId="0" fontId="6" fillId="2" borderId="1" xfId="0" applyFont="1"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0" fontId="0" fillId="0" borderId="0" xfId="0" applyAlignment="1" applyProtection="1">
      <alignment horizontal="center"/>
      <protection hidden="1"/>
    </xf>
    <xf numFmtId="0" fontId="8" fillId="4" borderId="1" xfId="0" applyFont="1" applyFill="1" applyBorder="1" applyProtection="1">
      <protection hidden="1"/>
    </xf>
    <xf numFmtId="0" fontId="0" fillId="2" borderId="1" xfId="0" applyFill="1" applyBorder="1" applyAlignment="1" applyProtection="1">
      <alignment horizontal="center"/>
      <protection hidden="1"/>
    </xf>
    <xf numFmtId="0" fontId="0" fillId="3" borderId="2" xfId="0" applyFill="1" applyBorder="1" applyAlignment="1" applyProtection="1">
      <alignment horizontal="center"/>
      <protection hidden="1"/>
    </xf>
    <xf numFmtId="0" fontId="1" fillId="4" borderId="3" xfId="0" applyFont="1" applyFill="1" applyBorder="1" applyProtection="1">
      <protection hidden="1"/>
    </xf>
    <xf numFmtId="0" fontId="6" fillId="4" borderId="5" xfId="0" applyFont="1" applyFill="1" applyBorder="1" applyProtection="1">
      <protection hidden="1"/>
    </xf>
    <xf numFmtId="0" fontId="6" fillId="2" borderId="3" xfId="0" applyFont="1" applyFill="1" applyBorder="1" applyAlignment="1" applyProtection="1">
      <alignment horizontal="center"/>
      <protection hidden="1"/>
    </xf>
    <xf numFmtId="0" fontId="6" fillId="3" borderId="4" xfId="0" applyFont="1" applyFill="1" applyBorder="1" applyAlignment="1" applyProtection="1">
      <alignment horizontal="center"/>
      <protection hidden="1"/>
    </xf>
    <xf numFmtId="0" fontId="0" fillId="0" borderId="12" xfId="0" applyFill="1" applyBorder="1" applyProtection="1">
      <protection hidden="1"/>
    </xf>
    <xf numFmtId="0" fontId="6" fillId="0" borderId="13" xfId="0" applyFont="1" applyFill="1" applyBorder="1" applyAlignment="1" applyProtection="1">
      <alignment horizontal="center"/>
      <protection hidden="1"/>
    </xf>
    <xf numFmtId="0" fontId="6" fillId="7" borderId="7" xfId="0" applyFont="1" applyFill="1" applyBorder="1" applyProtection="1">
      <protection hidden="1"/>
    </xf>
    <xf numFmtId="0" fontId="8" fillId="7" borderId="6" xfId="0" applyFont="1" applyFill="1" applyBorder="1" applyProtection="1">
      <protection hidden="1"/>
    </xf>
    <xf numFmtId="0" fontId="8" fillId="7" borderId="7" xfId="0" applyFont="1" applyFill="1" applyBorder="1" applyProtection="1">
      <protection hidden="1"/>
    </xf>
    <xf numFmtId="0" fontId="8" fillId="7" borderId="8" xfId="0" applyFont="1" applyFill="1" applyBorder="1" applyProtection="1">
      <protection hidden="1"/>
    </xf>
    <xf numFmtId="0" fontId="6" fillId="8" borderId="12" xfId="0" applyFont="1" applyFill="1" applyBorder="1" applyProtection="1">
      <protection hidden="1"/>
    </xf>
    <xf numFmtId="0" fontId="6" fillId="8" borderId="13" xfId="0" applyFont="1" applyFill="1" applyBorder="1" applyAlignment="1" applyProtection="1">
      <alignment horizontal="center"/>
      <protection hidden="1"/>
    </xf>
    <xf numFmtId="0" fontId="6" fillId="8" borderId="14" xfId="0" applyFont="1" applyFill="1" applyBorder="1" applyAlignment="1" applyProtection="1">
      <alignment horizontal="center"/>
      <protection hidden="1"/>
    </xf>
    <xf numFmtId="0" fontId="9" fillId="6" borderId="1" xfId="0" applyFont="1" applyFill="1" applyBorder="1" applyProtection="1">
      <protection hidden="1"/>
    </xf>
    <xf numFmtId="0" fontId="4" fillId="6" borderId="0" xfId="0" applyFont="1" applyFill="1" applyBorder="1" applyProtection="1">
      <protection hidden="1"/>
    </xf>
    <xf numFmtId="0" fontId="10" fillId="4" borderId="2" xfId="0" applyFont="1" applyFill="1" applyBorder="1" applyAlignment="1" applyProtection="1">
      <alignment horizontal="center"/>
      <protection hidden="1"/>
    </xf>
    <xf numFmtId="0" fontId="0" fillId="0" borderId="0" xfId="0" applyBorder="1" applyProtection="1">
      <protection hidden="1"/>
    </xf>
    <xf numFmtId="0" fontId="11" fillId="9" borderId="0" xfId="0" applyFont="1" applyFill="1" applyBorder="1" applyAlignment="1" applyProtection="1">
      <alignment horizontal="center"/>
      <protection hidden="1"/>
    </xf>
    <xf numFmtId="0" fontId="11" fillId="3" borderId="11" xfId="0" applyFont="1" applyFill="1" applyBorder="1" applyAlignment="1" applyProtection="1">
      <alignment horizontal="center"/>
      <protection hidden="1"/>
    </xf>
    <xf numFmtId="0" fontId="34" fillId="6" borderId="1" xfId="0" applyFont="1" applyFill="1" applyBorder="1" applyProtection="1">
      <protection hidden="1"/>
    </xf>
    <xf numFmtId="0" fontId="14" fillId="6" borderId="1" xfId="0" applyFont="1" applyFill="1" applyBorder="1" applyProtection="1">
      <protection hidden="1"/>
    </xf>
    <xf numFmtId="0" fontId="14" fillId="6" borderId="0" xfId="0" applyFont="1" applyFill="1" applyBorder="1" applyProtection="1">
      <protection hidden="1"/>
    </xf>
    <xf numFmtId="0" fontId="33" fillId="0" borderId="0" xfId="0" applyFont="1" applyBorder="1" applyProtection="1">
      <protection hidden="1"/>
    </xf>
    <xf numFmtId="0" fontId="26" fillId="9" borderId="0" xfId="0" applyFont="1" applyFill="1" applyAlignment="1" applyProtection="1">
      <alignment horizontal="center"/>
      <protection hidden="1"/>
    </xf>
    <xf numFmtId="0" fontId="26" fillId="3" borderId="2" xfId="0" applyFont="1" applyFill="1" applyBorder="1" applyAlignment="1" applyProtection="1">
      <alignment horizontal="center"/>
      <protection hidden="1"/>
    </xf>
    <xf numFmtId="0" fontId="37" fillId="0" borderId="1" xfId="0" applyFont="1" applyFill="1" applyBorder="1" applyAlignment="1" applyProtection="1">
      <alignment horizontal="center"/>
      <protection hidden="1"/>
    </xf>
    <xf numFmtId="0" fontId="0" fillId="0" borderId="9" xfId="0" applyFill="1" applyBorder="1" applyProtection="1">
      <protection hidden="1"/>
    </xf>
    <xf numFmtId="0" fontId="26" fillId="0" borderId="10" xfId="0" applyFont="1" applyFill="1" applyBorder="1" applyAlignment="1" applyProtection="1">
      <alignment horizontal="center"/>
      <protection hidden="1"/>
    </xf>
    <xf numFmtId="0" fontId="3" fillId="6" borderId="1" xfId="0" applyFont="1" applyFill="1" applyBorder="1" applyProtection="1">
      <protection hidden="1"/>
    </xf>
    <xf numFmtId="0" fontId="3" fillId="6" borderId="0" xfId="0" applyFont="1" applyFill="1" applyBorder="1" applyProtection="1">
      <protection hidden="1"/>
    </xf>
    <xf numFmtId="0" fontId="0" fillId="0" borderId="0" xfId="0" applyFill="1" applyBorder="1" applyProtection="1">
      <protection hidden="1"/>
    </xf>
    <xf numFmtId="0" fontId="12" fillId="9" borderId="0" xfId="0" applyFont="1" applyFill="1" applyBorder="1" applyAlignment="1" applyProtection="1">
      <alignment horizontal="center"/>
      <protection hidden="1"/>
    </xf>
    <xf numFmtId="0" fontId="12" fillId="3" borderId="2" xfId="0" applyFont="1" applyFill="1" applyBorder="1" applyAlignment="1" applyProtection="1">
      <alignment horizontal="center"/>
      <protection hidden="1"/>
    </xf>
    <xf numFmtId="0" fontId="37" fillId="0" borderId="0" xfId="0" applyFont="1" applyFill="1" applyProtection="1">
      <protection hidden="1"/>
    </xf>
    <xf numFmtId="0" fontId="0" fillId="0" borderId="1" xfId="0" applyFill="1" applyBorder="1" applyProtection="1">
      <protection hidden="1"/>
    </xf>
    <xf numFmtId="0" fontId="12" fillId="0" borderId="0" xfId="0" applyFont="1" applyFill="1" applyBorder="1" applyAlignment="1" applyProtection="1">
      <alignment horizontal="center"/>
      <protection hidden="1"/>
    </xf>
    <xf numFmtId="0" fontId="13" fillId="6" borderId="3" xfId="0" applyFont="1" applyFill="1" applyBorder="1" applyProtection="1">
      <protection hidden="1"/>
    </xf>
    <xf numFmtId="0" fontId="13" fillId="6" borderId="5" xfId="0" applyFont="1" applyFill="1" applyBorder="1" applyProtection="1">
      <protection hidden="1"/>
    </xf>
    <xf numFmtId="0" fontId="10" fillId="4" borderId="4" xfId="0" applyFont="1" applyFill="1" applyBorder="1" applyAlignment="1" applyProtection="1">
      <alignment horizontal="center"/>
      <protection hidden="1"/>
    </xf>
    <xf numFmtId="0" fontId="20" fillId="9" borderId="0" xfId="0" applyFont="1" applyFill="1" applyBorder="1" applyAlignment="1" applyProtection="1">
      <alignment horizontal="center"/>
      <protection hidden="1"/>
    </xf>
    <xf numFmtId="0" fontId="20" fillId="3" borderId="14"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6" fillId="6" borderId="1" xfId="0" applyFont="1" applyFill="1" applyBorder="1" applyProtection="1">
      <protection hidden="1"/>
    </xf>
    <xf numFmtId="0" fontId="0" fillId="6" borderId="0" xfId="0" applyFill="1" applyBorder="1" applyProtection="1">
      <protection hidden="1"/>
    </xf>
    <xf numFmtId="0" fontId="0" fillId="6" borderId="15" xfId="0" applyFill="1" applyBorder="1" applyProtection="1">
      <protection hidden="1"/>
    </xf>
    <xf numFmtId="0" fontId="8" fillId="0" borderId="10" xfId="0" applyFont="1" applyFill="1" applyBorder="1" applyAlignment="1" applyProtection="1">
      <alignment horizontal="center"/>
      <protection hidden="1"/>
    </xf>
    <xf numFmtId="0" fontId="0" fillId="0" borderId="10" xfId="0" applyFill="1" applyBorder="1" applyAlignment="1" applyProtection="1">
      <alignment horizontal="center"/>
      <protection hidden="1"/>
    </xf>
    <xf numFmtId="0" fontId="0" fillId="6" borderId="0" xfId="0" applyFill="1" applyProtection="1">
      <protection hidden="1"/>
    </xf>
    <xf numFmtId="0" fontId="8" fillId="0" borderId="0" xfId="0" applyFont="1" applyFill="1" applyBorder="1" applyAlignment="1" applyProtection="1">
      <alignment horizontal="center"/>
      <protection hidden="1"/>
    </xf>
    <xf numFmtId="0" fontId="0" fillId="0" borderId="0" xfId="0" applyFill="1" applyBorder="1" applyAlignment="1" applyProtection="1">
      <alignment horizontal="center"/>
      <protection hidden="1"/>
    </xf>
    <xf numFmtId="0" fontId="6" fillId="4" borderId="9" xfId="0" applyFont="1" applyFill="1" applyBorder="1" applyProtection="1">
      <protection hidden="1"/>
    </xf>
    <xf numFmtId="0" fontId="0" fillId="4" borderId="10" xfId="0" applyFill="1" applyBorder="1" applyProtection="1">
      <protection hidden="1"/>
    </xf>
    <xf numFmtId="0" fontId="0" fillId="4" borderId="9" xfId="0" applyFill="1" applyBorder="1" applyProtection="1">
      <protection hidden="1"/>
    </xf>
    <xf numFmtId="0" fontId="0" fillId="4" borderId="11" xfId="0" applyFill="1" applyBorder="1" applyProtection="1">
      <protection hidden="1"/>
    </xf>
    <xf numFmtId="0" fontId="5" fillId="4" borderId="1" xfId="0" applyFont="1" applyFill="1" applyBorder="1" applyProtection="1">
      <protection hidden="1"/>
    </xf>
    <xf numFmtId="0" fontId="5" fillId="4" borderId="0" xfId="0" applyFont="1" applyFill="1" applyBorder="1" applyProtection="1">
      <protection hidden="1"/>
    </xf>
    <xf numFmtId="0" fontId="3" fillId="4" borderId="1" xfId="0" applyFont="1" applyFill="1" applyBorder="1" applyProtection="1">
      <protection hidden="1"/>
    </xf>
    <xf numFmtId="0" fontId="0" fillId="4" borderId="2" xfId="0" applyFill="1" applyBorder="1" applyProtection="1">
      <protection hidden="1"/>
    </xf>
    <xf numFmtId="0" fontId="5" fillId="4" borderId="0" xfId="0" applyFont="1" applyFill="1" applyProtection="1">
      <protection hidden="1"/>
    </xf>
    <xf numFmtId="0" fontId="28" fillId="5" borderId="1" xfId="0" applyFont="1" applyFill="1" applyBorder="1" applyAlignment="1" applyProtection="1">
      <alignment horizontal="center"/>
      <protection hidden="1"/>
    </xf>
    <xf numFmtId="0" fontId="27" fillId="5" borderId="2" xfId="0" applyFont="1" applyFill="1" applyBorder="1" applyAlignment="1" applyProtection="1">
      <alignment horizontal="center"/>
      <protection hidden="1"/>
    </xf>
    <xf numFmtId="0" fontId="6" fillId="8" borderId="16" xfId="0" applyFont="1" applyFill="1" applyBorder="1" applyProtection="1">
      <protection hidden="1"/>
    </xf>
    <xf numFmtId="0" fontId="6" fillId="8" borderId="17" xfId="0" applyFont="1" applyFill="1" applyBorder="1" applyAlignment="1" applyProtection="1">
      <alignment horizontal="center"/>
      <protection hidden="1"/>
    </xf>
    <xf numFmtId="0" fontId="6" fillId="8" borderId="18" xfId="0" applyFont="1" applyFill="1" applyBorder="1" applyAlignment="1" applyProtection="1">
      <alignment horizontal="center"/>
      <protection hidden="1"/>
    </xf>
    <xf numFmtId="0" fontId="12" fillId="2" borderId="1" xfId="0" applyFont="1" applyFill="1" applyBorder="1" applyAlignment="1" applyProtection="1">
      <alignment horizontal="center"/>
      <protection hidden="1"/>
    </xf>
    <xf numFmtId="0" fontId="0" fillId="0" borderId="16" xfId="0" applyBorder="1" applyProtection="1">
      <protection hidden="1"/>
    </xf>
    <xf numFmtId="0" fontId="12" fillId="3" borderId="11" xfId="0" applyFont="1" applyFill="1" applyBorder="1" applyAlignment="1" applyProtection="1">
      <alignment horizontal="center"/>
      <protection hidden="1"/>
    </xf>
    <xf numFmtId="0" fontId="0" fillId="0" borderId="10" xfId="0" applyFill="1" applyBorder="1" applyProtection="1">
      <protection hidden="1"/>
    </xf>
    <xf numFmtId="0" fontId="7" fillId="4" borderId="1" xfId="0" applyFont="1" applyFill="1" applyBorder="1" applyProtection="1">
      <protection hidden="1"/>
    </xf>
    <xf numFmtId="0" fontId="7" fillId="4" borderId="0" xfId="0" applyFont="1" applyFill="1" applyBorder="1" applyProtection="1">
      <protection hidden="1"/>
    </xf>
    <xf numFmtId="0" fontId="4" fillId="2" borderId="1" xfId="0" applyFont="1" applyFill="1" applyBorder="1" applyAlignment="1" applyProtection="1">
      <alignment horizontal="center"/>
      <protection hidden="1"/>
    </xf>
    <xf numFmtId="0" fontId="7" fillId="4" borderId="0" xfId="0" applyFont="1" applyFill="1" applyProtection="1">
      <protection hidden="1"/>
    </xf>
    <xf numFmtId="0" fontId="27" fillId="5" borderId="1" xfId="0" applyFont="1" applyFill="1" applyBorder="1" applyAlignment="1" applyProtection="1">
      <alignment horizontal="center"/>
      <protection hidden="1"/>
    </xf>
    <xf numFmtId="0" fontId="11" fillId="2" borderId="1" xfId="0" applyFont="1" applyFill="1" applyBorder="1" applyAlignment="1" applyProtection="1">
      <alignment horizontal="center"/>
      <protection hidden="1"/>
    </xf>
    <xf numFmtId="0" fontId="11" fillId="3" borderId="2" xfId="0" applyFont="1" applyFill="1" applyBorder="1" applyAlignment="1" applyProtection="1">
      <alignment horizontal="center"/>
      <protection hidden="1"/>
    </xf>
    <xf numFmtId="0" fontId="4" fillId="4" borderId="1" xfId="0" applyFont="1" applyFill="1" applyBorder="1" applyProtection="1">
      <protection hidden="1"/>
    </xf>
    <xf numFmtId="0" fontId="4" fillId="4" borderId="0" xfId="0" applyFont="1" applyFill="1" applyBorder="1" applyProtection="1">
      <protection hidden="1"/>
    </xf>
    <xf numFmtId="0" fontId="4" fillId="4" borderId="0" xfId="0" applyFont="1" applyFill="1" applyProtection="1">
      <protection hidden="1"/>
    </xf>
    <xf numFmtId="0" fontId="16" fillId="4" borderId="1" xfId="0" applyFont="1" applyFill="1" applyBorder="1" applyProtection="1">
      <protection hidden="1"/>
    </xf>
    <xf numFmtId="0" fontId="19" fillId="4" borderId="0" xfId="0" applyFont="1" applyFill="1" applyBorder="1" applyProtection="1">
      <protection hidden="1"/>
    </xf>
    <xf numFmtId="0" fontId="19" fillId="4" borderId="0" xfId="0" applyFont="1" applyFill="1" applyProtection="1">
      <protection hidden="1"/>
    </xf>
    <xf numFmtId="0" fontId="20" fillId="2" borderId="1" xfId="0" applyFont="1" applyFill="1" applyBorder="1" applyAlignment="1" applyProtection="1">
      <alignment horizontal="center"/>
      <protection hidden="1"/>
    </xf>
    <xf numFmtId="0" fontId="20" fillId="3" borderId="2" xfId="0" applyFont="1" applyFill="1" applyBorder="1" applyAlignment="1" applyProtection="1">
      <alignment horizontal="center"/>
      <protection hidden="1"/>
    </xf>
    <xf numFmtId="0" fontId="20" fillId="3" borderId="11" xfId="0" applyFont="1" applyFill="1" applyBorder="1" applyAlignment="1" applyProtection="1">
      <alignment horizontal="center"/>
      <protection hidden="1"/>
    </xf>
    <xf numFmtId="0" fontId="17" fillId="4" borderId="1" xfId="0" applyFont="1" applyFill="1" applyBorder="1" applyProtection="1">
      <protection hidden="1"/>
    </xf>
    <xf numFmtId="0" fontId="17" fillId="4" borderId="0" xfId="0" applyFont="1" applyFill="1" applyBorder="1" applyProtection="1">
      <protection hidden="1"/>
    </xf>
    <xf numFmtId="0" fontId="17" fillId="4" borderId="0" xfId="0" applyFont="1" applyFill="1" applyProtection="1">
      <protection hidden="1"/>
    </xf>
    <xf numFmtId="0" fontId="18" fillId="4" borderId="2" xfId="0" applyFont="1" applyFill="1" applyBorder="1" applyProtection="1">
      <protection hidden="1"/>
    </xf>
    <xf numFmtId="0" fontId="26" fillId="2" borderId="0" xfId="0" applyFont="1" applyFill="1" applyBorder="1" applyAlignment="1" applyProtection="1">
      <alignment horizontal="center"/>
      <protection hidden="1"/>
    </xf>
    <xf numFmtId="0" fontId="26" fillId="2" borderId="1" xfId="0" applyFont="1" applyFill="1" applyBorder="1" applyAlignment="1" applyProtection="1">
      <alignment horizontal="center"/>
      <protection hidden="1"/>
    </xf>
    <xf numFmtId="0" fontId="14" fillId="0" borderId="16" xfId="0" applyFont="1" applyBorder="1" applyProtection="1">
      <protection hidden="1"/>
    </xf>
    <xf numFmtId="0" fontId="37" fillId="0" borderId="1" xfId="0" applyFont="1" applyFill="1" applyBorder="1" applyProtection="1">
      <protection hidden="1"/>
    </xf>
    <xf numFmtId="0" fontId="17" fillId="4" borderId="3" xfId="0" applyFont="1" applyFill="1" applyBorder="1" applyProtection="1">
      <protection hidden="1"/>
    </xf>
    <xf numFmtId="0" fontId="0" fillId="2" borderId="3" xfId="0" applyFill="1" applyBorder="1" applyAlignment="1" applyProtection="1">
      <alignment horizontal="center"/>
      <protection hidden="1"/>
    </xf>
    <xf numFmtId="0" fontId="0" fillId="3" borderId="4" xfId="0" applyFill="1" applyBorder="1" applyAlignment="1" applyProtection="1">
      <alignment horizontal="center"/>
      <protection hidden="1"/>
    </xf>
    <xf numFmtId="0" fontId="6" fillId="7" borderId="9" xfId="0" applyFont="1" applyFill="1" applyBorder="1" applyProtection="1">
      <protection hidden="1"/>
    </xf>
    <xf numFmtId="0" fontId="8" fillId="7" borderId="10" xfId="0" applyFont="1" applyFill="1" applyBorder="1" applyProtection="1">
      <protection hidden="1"/>
    </xf>
    <xf numFmtId="0" fontId="0" fillId="7" borderId="10" xfId="0" applyFill="1" applyBorder="1" applyProtection="1">
      <protection hidden="1"/>
    </xf>
    <xf numFmtId="0" fontId="0" fillId="7" borderId="11" xfId="0" applyFill="1" applyBorder="1" applyProtection="1">
      <protection hidden="1"/>
    </xf>
    <xf numFmtId="0" fontId="0" fillId="0" borderId="1" xfId="0" applyFill="1" applyBorder="1" applyAlignment="1" applyProtection="1">
      <protection hidden="1"/>
    </xf>
    <xf numFmtId="0" fontId="5" fillId="6" borderId="1" xfId="0" applyFont="1" applyFill="1" applyBorder="1" applyProtection="1">
      <protection hidden="1"/>
    </xf>
    <xf numFmtId="0" fontId="5" fillId="6" borderId="0" xfId="0" applyFont="1" applyFill="1" applyBorder="1" applyProtection="1">
      <protection hidden="1"/>
    </xf>
    <xf numFmtId="0" fontId="26" fillId="0" borderId="0" xfId="0" applyFont="1" applyFill="1" applyBorder="1" applyAlignment="1" applyProtection="1">
      <alignment horizontal="center"/>
      <protection hidden="1"/>
    </xf>
    <xf numFmtId="0" fontId="7" fillId="6" borderId="1" xfId="0" applyFont="1" applyFill="1" applyBorder="1" applyProtection="1">
      <protection hidden="1"/>
    </xf>
    <xf numFmtId="0" fontId="4" fillId="4" borderId="2" xfId="0" applyFont="1" applyFill="1" applyBorder="1" applyAlignment="1" applyProtection="1">
      <alignment horizontal="center"/>
      <protection hidden="1"/>
    </xf>
    <xf numFmtId="0" fontId="4" fillId="6" borderId="0" xfId="0" applyFont="1" applyFill="1" applyProtection="1">
      <protection hidden="1"/>
    </xf>
    <xf numFmtId="0" fontId="0" fillId="5" borderId="7" xfId="0" applyFill="1" applyBorder="1" applyProtection="1">
      <protection hidden="1"/>
    </xf>
    <xf numFmtId="0" fontId="0" fillId="5" borderId="6" xfId="0" applyFill="1" applyBorder="1" applyProtection="1">
      <protection hidden="1"/>
    </xf>
    <xf numFmtId="0" fontId="27" fillId="5" borderId="1" xfId="0" applyFont="1" applyFill="1" applyBorder="1" applyProtection="1">
      <protection hidden="1"/>
    </xf>
    <xf numFmtId="0" fontId="27" fillId="5" borderId="2" xfId="0" applyFont="1" applyFill="1" applyBorder="1" applyProtection="1">
      <protection hidden="1"/>
    </xf>
    <xf numFmtId="0" fontId="30" fillId="4" borderId="0" xfId="0" applyFont="1" applyFill="1" applyBorder="1" applyProtection="1">
      <protection hidden="1"/>
    </xf>
    <xf numFmtId="0" fontId="5" fillId="4" borderId="3" xfId="0" applyFont="1" applyFill="1" applyBorder="1" applyProtection="1">
      <protection hidden="1"/>
    </xf>
    <xf numFmtId="0" fontId="5" fillId="4" borderId="5" xfId="0" applyFont="1" applyFill="1" applyBorder="1" applyProtection="1">
      <protection hidden="1"/>
    </xf>
    <xf numFmtId="0" fontId="0" fillId="2" borderId="12" xfId="0" applyFill="1" applyBorder="1" applyProtection="1">
      <protection hidden="1"/>
    </xf>
    <xf numFmtId="0" fontId="0" fillId="3" borderId="14" xfId="0" applyFill="1" applyBorder="1" applyProtection="1">
      <protection hidden="1"/>
    </xf>
    <xf numFmtId="0" fontId="0" fillId="0" borderId="2" xfId="0" applyBorder="1" applyProtection="1">
      <protection hidden="1"/>
    </xf>
    <xf numFmtId="0" fontId="0" fillId="0" borderId="9" xfId="0" applyBorder="1" applyProtection="1">
      <protection hidden="1"/>
    </xf>
    <xf numFmtId="0" fontId="0" fillId="0" borderId="10" xfId="0" applyBorder="1" applyProtection="1">
      <protection hidden="1"/>
    </xf>
    <xf numFmtId="0" fontId="6" fillId="6" borderId="12" xfId="0" applyFont="1" applyFill="1" applyBorder="1" applyProtection="1">
      <protection hidden="1"/>
    </xf>
    <xf numFmtId="0" fontId="0" fillId="6" borderId="13" xfId="0" applyFill="1" applyBorder="1" applyProtection="1">
      <protection hidden="1"/>
    </xf>
    <xf numFmtId="0" fontId="0" fillId="6" borderId="14" xfId="0" applyFill="1" applyBorder="1" applyProtection="1">
      <protection hidden="1"/>
    </xf>
    <xf numFmtId="0" fontId="0" fillId="0" borderId="12" xfId="0" applyBorder="1" applyProtection="1">
      <protection hidden="1"/>
    </xf>
    <xf numFmtId="0" fontId="0" fillId="0" borderId="13" xfId="0" applyBorder="1" applyProtection="1">
      <protection hidden="1"/>
    </xf>
    <xf numFmtId="0" fontId="0" fillId="0" borderId="14" xfId="0" applyBorder="1" applyProtection="1">
      <protection hidden="1"/>
    </xf>
    <xf numFmtId="0" fontId="0" fillId="0" borderId="1" xfId="0" applyBorder="1" applyProtection="1">
      <protection hidden="1"/>
    </xf>
    <xf numFmtId="0" fontId="29" fillId="0" borderId="0" xfId="0" applyFont="1" applyFill="1" applyProtection="1">
      <protection hidden="1"/>
    </xf>
    <xf numFmtId="0" fontId="6" fillId="0" borderId="9" xfId="0" applyFont="1" applyFill="1" applyBorder="1" applyAlignment="1" applyProtection="1">
      <alignment horizontal="center"/>
      <protection hidden="1"/>
    </xf>
    <xf numFmtId="0" fontId="29" fillId="0" borderId="10"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6" fillId="0" borderId="9" xfId="0" applyFont="1" applyFill="1" applyBorder="1" applyAlignment="1" applyProtection="1">
      <alignment horizontal="right"/>
      <protection hidden="1"/>
    </xf>
    <xf numFmtId="0" fontId="29" fillId="0" borderId="11" xfId="0" applyFont="1" applyFill="1" applyBorder="1" applyAlignment="1" applyProtection="1">
      <alignment horizontal="left"/>
      <protection hidden="1"/>
    </xf>
    <xf numFmtId="0" fontId="0" fillId="0" borderId="0" xfId="0" applyAlignment="1" applyProtection="1">
      <protection hidden="1"/>
    </xf>
    <xf numFmtId="0" fontId="8" fillId="0" borderId="0" xfId="0" applyFont="1" applyFill="1" applyBorder="1" applyProtection="1">
      <protection hidden="1"/>
    </xf>
    <xf numFmtId="0" fontId="4" fillId="6" borderId="1" xfId="0" applyFont="1" applyFill="1" applyBorder="1" applyProtection="1">
      <protection hidden="1"/>
    </xf>
    <xf numFmtId="0" fontId="4" fillId="6" borderId="0" xfId="0" applyFont="1" applyFill="1" applyBorder="1" applyAlignment="1" applyProtection="1">
      <alignment horizontal="center"/>
      <protection hidden="1"/>
    </xf>
    <xf numFmtId="0" fontId="29" fillId="0" borderId="2" xfId="0" applyFont="1" applyFill="1" applyBorder="1" applyAlignment="1" applyProtection="1">
      <alignment horizontal="center"/>
      <protection hidden="1"/>
    </xf>
    <xf numFmtId="0" fontId="11" fillId="9" borderId="2"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33" fillId="0" borderId="0" xfId="0" applyFont="1" applyFill="1" applyBorder="1" applyAlignment="1" applyProtection="1">
      <alignment horizontal="center"/>
      <protection hidden="1"/>
    </xf>
    <xf numFmtId="0" fontId="26" fillId="0" borderId="0" xfId="0" applyFont="1" applyBorder="1" applyAlignment="1" applyProtection="1">
      <alignment horizontal="center"/>
      <protection hidden="1"/>
    </xf>
    <xf numFmtId="0" fontId="26" fillId="2" borderId="2" xfId="0" applyFont="1" applyFill="1" applyBorder="1" applyAlignment="1" applyProtection="1">
      <alignment horizontal="center"/>
      <protection hidden="1"/>
    </xf>
    <xf numFmtId="0" fontId="26" fillId="9" borderId="2" xfId="0" applyFont="1" applyFill="1" applyBorder="1" applyAlignment="1" applyProtection="1">
      <alignment horizontal="center"/>
      <protection hidden="1"/>
    </xf>
    <xf numFmtId="0" fontId="37" fillId="0" borderId="0" xfId="0" applyFont="1" applyFill="1" applyBorder="1" applyAlignment="1" applyProtection="1">
      <alignment horizontal="center"/>
      <protection hidden="1"/>
    </xf>
    <xf numFmtId="0" fontId="37" fillId="0" borderId="0" xfId="0" applyFont="1" applyFill="1" applyBorder="1" applyProtection="1">
      <protection hidden="1"/>
    </xf>
    <xf numFmtId="0" fontId="30" fillId="0" borderId="0" xfId="0" applyFont="1" applyBorder="1" applyAlignment="1" applyProtection="1">
      <alignment horizontal="center"/>
      <protection hidden="1"/>
    </xf>
    <xf numFmtId="0" fontId="12" fillId="0" borderId="0" xfId="0" applyFont="1" applyBorder="1" applyAlignment="1" applyProtection="1">
      <alignment horizontal="center"/>
      <protection hidden="1"/>
    </xf>
    <xf numFmtId="0" fontId="12" fillId="2" borderId="2" xfId="0" applyFont="1" applyFill="1" applyBorder="1" applyAlignment="1" applyProtection="1">
      <alignment horizontal="center"/>
      <protection hidden="1"/>
    </xf>
    <xf numFmtId="0" fontId="12" fillId="9" borderId="2"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19" fillId="0" borderId="0" xfId="0" applyFont="1" applyFill="1" applyBorder="1" applyAlignment="1" applyProtection="1">
      <alignment horizontal="center"/>
      <protection hidden="1"/>
    </xf>
    <xf numFmtId="0" fontId="20" fillId="0" borderId="0" xfId="0" applyFont="1" applyBorder="1" applyAlignment="1" applyProtection="1">
      <alignment horizontal="center"/>
      <protection hidden="1"/>
    </xf>
    <xf numFmtId="0" fontId="20" fillId="2" borderId="2" xfId="0" applyFont="1" applyFill="1" applyBorder="1" applyAlignment="1" applyProtection="1">
      <alignment horizontal="center"/>
      <protection hidden="1"/>
    </xf>
    <xf numFmtId="0" fontId="20" fillId="9" borderId="2"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0" fillId="0" borderId="1" xfId="0"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2" xfId="0" applyFont="1" applyFill="1" applyBorder="1" applyAlignment="1" applyProtection="1">
      <alignment horizontal="center"/>
      <protection hidden="1"/>
    </xf>
    <xf numFmtId="0" fontId="0" fillId="0" borderId="0" xfId="0" applyBorder="1" applyAlignment="1" applyProtection="1">
      <alignment horizontal="center"/>
      <protection hidden="1"/>
    </xf>
    <xf numFmtId="0" fontId="27" fillId="0" borderId="2" xfId="0" applyFont="1" applyFill="1" applyBorder="1" applyAlignment="1" applyProtection="1">
      <alignment horizontal="center"/>
      <protection hidden="1"/>
    </xf>
    <xf numFmtId="0" fontId="0" fillId="0" borderId="12" xfId="0" applyBorder="1" applyAlignment="1" applyProtection="1">
      <alignment horizontal="center"/>
      <protection hidden="1"/>
    </xf>
    <xf numFmtId="0" fontId="0" fillId="0" borderId="13" xfId="0" applyBorder="1" applyAlignment="1" applyProtection="1">
      <alignment horizontal="center"/>
      <protection hidden="1"/>
    </xf>
    <xf numFmtId="0" fontId="27" fillId="0" borderId="14" xfId="0" applyFont="1" applyFill="1" applyBorder="1" applyAlignment="1" applyProtection="1">
      <alignment horizontal="center"/>
      <protection hidden="1"/>
    </xf>
    <xf numFmtId="0" fontId="1" fillId="0" borderId="0" xfId="0" applyFont="1" applyFill="1" applyBorder="1" applyProtection="1">
      <protection hidden="1"/>
    </xf>
    <xf numFmtId="0" fontId="29" fillId="0" borderId="11" xfId="0" applyFont="1" applyFill="1" applyBorder="1" applyProtection="1">
      <protection hidden="1"/>
    </xf>
    <xf numFmtId="0" fontId="34" fillId="0" borderId="0" xfId="0" applyFont="1" applyFill="1" applyBorder="1" applyAlignment="1" applyProtection="1">
      <alignment horizontal="center"/>
      <protection hidden="1"/>
    </xf>
    <xf numFmtId="0" fontId="11" fillId="0" borderId="0" xfId="0" applyFont="1" applyFill="1" applyBorder="1" applyAlignment="1" applyProtection="1">
      <alignment horizontal="center"/>
      <protection hidden="1"/>
    </xf>
    <xf numFmtId="0" fontId="11" fillId="6" borderId="1" xfId="0" applyFont="1" applyFill="1" applyBorder="1" applyAlignment="1" applyProtection="1">
      <alignment horizontal="center"/>
      <protection locked="0" hidden="1"/>
    </xf>
    <xf numFmtId="0" fontId="11" fillId="6" borderId="2" xfId="0" applyFont="1" applyFill="1" applyBorder="1" applyAlignment="1" applyProtection="1">
      <alignment horizontal="center"/>
      <protection locked="0" hidden="1"/>
    </xf>
    <xf numFmtId="0" fontId="25" fillId="6" borderId="1" xfId="0" applyFont="1" applyFill="1" applyBorder="1" applyAlignment="1" applyProtection="1">
      <alignment horizontal="center"/>
      <protection locked="0" hidden="1"/>
    </xf>
    <xf numFmtId="0" fontId="26" fillId="6" borderId="0" xfId="0" applyFont="1" applyFill="1" applyBorder="1" applyAlignment="1" applyProtection="1">
      <alignment horizontal="center"/>
      <protection locked="0" hidden="1"/>
    </xf>
    <xf numFmtId="0" fontId="24" fillId="6" borderId="1" xfId="0" applyFont="1" applyFill="1" applyBorder="1" applyAlignment="1" applyProtection="1">
      <alignment horizontal="center"/>
      <protection locked="0" hidden="1"/>
    </xf>
    <xf numFmtId="0" fontId="12" fillId="6" borderId="0" xfId="0" applyFont="1" applyFill="1" applyBorder="1" applyAlignment="1" applyProtection="1">
      <alignment horizontal="center"/>
      <protection locked="0" hidden="1"/>
    </xf>
    <xf numFmtId="0" fontId="22" fillId="6" borderId="3" xfId="0" applyFont="1" applyFill="1" applyBorder="1" applyAlignment="1" applyProtection="1">
      <alignment horizontal="center"/>
      <protection locked="0" hidden="1"/>
    </xf>
    <xf numFmtId="0" fontId="20" fillId="6" borderId="5" xfId="0" applyFont="1" applyFill="1" applyBorder="1" applyAlignment="1" applyProtection="1">
      <alignment horizontal="center"/>
      <protection locked="0" hidden="1"/>
    </xf>
    <xf numFmtId="0" fontId="12" fillId="6" borderId="1" xfId="0" applyFont="1" applyFill="1" applyBorder="1" applyAlignment="1" applyProtection="1">
      <alignment horizontal="center"/>
      <protection locked="0" hidden="1"/>
    </xf>
    <xf numFmtId="0" fontId="12" fillId="6" borderId="2" xfId="0" applyFont="1" applyFill="1" applyBorder="1" applyAlignment="1" applyProtection="1">
      <alignment horizontal="center"/>
      <protection locked="0" hidden="1"/>
    </xf>
    <xf numFmtId="0" fontId="1" fillId="4" borderId="3" xfId="0" applyFont="1" applyFill="1" applyBorder="1" applyAlignment="1" applyProtection="1">
      <alignment horizontal="center"/>
      <protection hidden="1"/>
    </xf>
    <xf numFmtId="0" fontId="1" fillId="4" borderId="4" xfId="0" applyFont="1" applyFill="1" applyBorder="1" applyAlignment="1" applyProtection="1">
      <alignment horizontal="center"/>
      <protection hidden="1"/>
    </xf>
    <xf numFmtId="0" fontId="26" fillId="3" borderId="0" xfId="0" applyFont="1" applyFill="1" applyAlignment="1" applyProtection="1">
      <alignment horizontal="center"/>
      <protection hidden="1"/>
    </xf>
    <xf numFmtId="0" fontId="38" fillId="0" borderId="0" xfId="0" applyFont="1" applyFill="1" applyBorder="1" applyAlignment="1" applyProtection="1">
      <alignment horizontal="center"/>
      <protection hidden="1"/>
    </xf>
    <xf numFmtId="0" fontId="0" fillId="10" borderId="0" xfId="0" applyFill="1" applyAlignment="1" applyProtection="1">
      <alignment horizontal="left"/>
      <protection hidden="1"/>
    </xf>
    <xf numFmtId="0" fontId="1" fillId="4" borderId="4" xfId="0" applyFont="1" applyFill="1" applyBorder="1" applyProtection="1">
      <protection hidden="1"/>
    </xf>
    <xf numFmtId="0" fontId="33" fillId="0" borderId="16" xfId="0" applyFont="1" applyBorder="1" applyProtection="1">
      <protection hidden="1"/>
    </xf>
    <xf numFmtId="0" fontId="1" fillId="11" borderId="0" xfId="0" applyFont="1" applyFill="1" applyBorder="1"/>
    <xf numFmtId="0" fontId="0" fillId="0" borderId="0" xfId="0" applyFill="1" applyBorder="1"/>
    <xf numFmtId="0" fontId="0" fillId="0" borderId="0" xfId="0" applyFill="1"/>
    <xf numFmtId="0" fontId="0" fillId="11" borderId="0" xfId="0" applyFill="1"/>
    <xf numFmtId="0" fontId="39" fillId="0" borderId="0" xfId="1" applyFill="1"/>
    <xf numFmtId="0" fontId="40" fillId="0" borderId="0" xfId="0" applyFont="1" applyFill="1"/>
    <xf numFmtId="0" fontId="39" fillId="11" borderId="0" xfId="1" applyFill="1" applyBorder="1"/>
    <xf numFmtId="0" fontId="1" fillId="11" borderId="0" xfId="0" applyFont="1" applyFill="1" applyBorder="1" applyAlignment="1">
      <alignment horizontal="center"/>
    </xf>
    <xf numFmtId="0" fontId="39" fillId="11" borderId="0" xfId="1" applyFill="1"/>
    <xf numFmtId="0" fontId="11" fillId="6" borderId="20" xfId="0" applyFont="1" applyFill="1" applyBorder="1" applyAlignment="1" applyProtection="1">
      <alignment horizontal="center"/>
      <protection locked="0" hidden="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123008</xdr:colOff>
      <xdr:row>1</xdr:row>
      <xdr:rowOff>75111</xdr:rowOff>
    </xdr:from>
    <xdr:ext cx="6158049" cy="8067404"/>
    <xdr:sp macro="" textlink="">
      <xdr:nvSpPr>
        <xdr:cNvPr id="2" name="Textfeld 1">
          <a:extLst>
            <a:ext uri="{FF2B5EF4-FFF2-40B4-BE49-F238E27FC236}">
              <a16:creationId xmlns:a16="http://schemas.microsoft.com/office/drawing/2014/main" id="{CF752725-12B1-4814-BE29-B5679672DACB}"/>
            </a:ext>
          </a:extLst>
        </xdr:cNvPr>
        <xdr:cNvSpPr txBox="1"/>
      </xdr:nvSpPr>
      <xdr:spPr>
        <a:xfrm>
          <a:off x="123008" y="238397"/>
          <a:ext cx="6158049" cy="8067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spcAft>
              <a:spcPts val="0"/>
            </a:spcAft>
          </a:pPr>
          <a:r>
            <a:rPr lang="de-CH" sz="1200" b="1">
              <a:effectLst/>
              <a:latin typeface="Arial" panose="020B0604020202020204" pitchFamily="34" charset="0"/>
              <a:ea typeface="Times New Roman" panose="02020603050405020304" pitchFamily="18" charset="0"/>
            </a:rPr>
            <a:t>ÜBERLEBENSCHANCEN UND RESTLEBENSZEIT</a:t>
          </a:r>
          <a:endParaRPr lang="de-CH" sz="1400">
            <a:effectLst/>
            <a:latin typeface="Times New Roman" panose="02020603050405020304" pitchFamily="18" charset="0"/>
            <a:ea typeface="Times New Roman" panose="02020603050405020304" pitchFamily="18" charset="0"/>
          </a:endParaRPr>
        </a:p>
        <a:p>
          <a:pPr>
            <a:spcAft>
              <a:spcPts val="0"/>
            </a:spcAft>
          </a:pPr>
          <a:r>
            <a:rPr lang="de-CH" sz="1050" b="1">
              <a:effectLst/>
              <a:latin typeface="Arial" panose="020B0604020202020204" pitchFamily="34" charset="0"/>
              <a:ea typeface="Times New Roman" panose="02020603050405020304" pitchFamily="18" charset="0"/>
            </a:rPr>
            <a:t> </a:t>
          </a:r>
          <a:endParaRPr lang="de-CH" sz="1050">
            <a:effectLst/>
            <a:latin typeface="Times New Roman" panose="02020603050405020304" pitchFamily="18" charset="0"/>
            <a:ea typeface="Times New Roman" panose="02020603050405020304" pitchFamily="18" charset="0"/>
          </a:endParaRPr>
        </a:p>
        <a:p>
          <a:pPr>
            <a:spcAft>
              <a:spcPts val="0"/>
            </a:spcAft>
          </a:pPr>
          <a:r>
            <a:rPr lang="de-CH" sz="1050" b="1">
              <a:effectLst/>
              <a:latin typeface="Arial" panose="020B0604020202020204" pitchFamily="34" charset="0"/>
              <a:ea typeface="Times New Roman" panose="02020603050405020304" pitchFamily="18" charset="0"/>
            </a:rPr>
            <a:t>(POPULATIONEN SCHWEIZ (CH), RUSSLAND (RU), VEREINIGTE STAATEN (USA)</a:t>
          </a:r>
          <a:endParaRPr lang="de-CH" sz="1050">
            <a:effectLst/>
            <a:latin typeface="Times New Roman" panose="02020603050405020304" pitchFamily="18" charset="0"/>
            <a:ea typeface="Times New Roman" panose="02020603050405020304" pitchFamily="18" charset="0"/>
          </a:endParaRPr>
        </a:p>
        <a:p>
          <a:pPr>
            <a:spcAft>
              <a:spcPts val="0"/>
            </a:spcAft>
          </a:pPr>
          <a:r>
            <a:rPr lang="de-CH" sz="1050" b="1">
              <a:effectLst/>
              <a:latin typeface="Arial" panose="020B0604020202020204" pitchFamily="34" charset="0"/>
              <a:ea typeface="Times New Roman" panose="02020603050405020304" pitchFamily="18" charset="0"/>
            </a:rPr>
            <a:t> </a:t>
          </a:r>
          <a:endParaRPr lang="de-CH" sz="1050">
            <a:effectLst/>
            <a:latin typeface="Times New Roman" panose="02020603050405020304" pitchFamily="18" charset="0"/>
            <a:ea typeface="Times New Roman" panose="02020603050405020304" pitchFamily="18" charset="0"/>
          </a:endParaRPr>
        </a:p>
        <a:p>
          <a:pPr>
            <a:spcAft>
              <a:spcPts val="0"/>
            </a:spcAft>
          </a:pPr>
          <a:r>
            <a:rPr lang="de-CH" sz="1050">
              <a:effectLst/>
              <a:latin typeface="Arial" panose="020B0604020202020204" pitchFamily="34" charset="0"/>
              <a:ea typeface="Times New Roman" panose="02020603050405020304" pitchFamily="18" charset="0"/>
            </a:rPr>
            <a:t>Die vorliegenden Rechenmodelle basieren auf den Rohdaten</a:t>
          </a:r>
          <a:r>
            <a:rPr lang="de-CH" sz="1050">
              <a:solidFill>
                <a:sysClr val="windowText" lastClr="000000"/>
              </a:solidFill>
              <a:effectLst/>
              <a:latin typeface="Arial" panose="020B0604020202020204" pitchFamily="34" charset="0"/>
              <a:ea typeface="Times New Roman" panose="02020603050405020304" pitchFamily="18" charset="0"/>
            </a:rPr>
            <a:t> von </a:t>
          </a:r>
          <a:r>
            <a:rPr lang="de-CH" sz="1050" u="sng">
              <a:solidFill>
                <a:schemeClr val="accent5">
                  <a:lumMod val="75000"/>
                </a:schemeClr>
              </a:solidFill>
              <a:effectLst/>
              <a:latin typeface="Arial" panose="020B0604020202020204" pitchFamily="34" charset="0"/>
              <a:ea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www.mortality.org</a:t>
          </a:r>
          <a:r>
            <a:rPr lang="de-CH" sz="1050">
              <a:effectLst/>
              <a:latin typeface="Arial" panose="020B0604020202020204" pitchFamily="34" charset="0"/>
              <a:ea typeface="Times New Roman" panose="02020603050405020304" pitchFamily="18" charset="0"/>
            </a:rPr>
            <a:t>.</a:t>
          </a:r>
          <a:r>
            <a:rPr lang="de-CH" sz="1050">
              <a:solidFill>
                <a:srgbClr val="FF0000"/>
              </a:solidFill>
              <a:effectLst/>
              <a:latin typeface="Arial" panose="020B0604020202020204" pitchFamily="34" charset="0"/>
              <a:ea typeface="Times New Roman" panose="02020603050405020304" pitchFamily="18" charset="0"/>
            </a:rPr>
            <a:t>***</a:t>
          </a:r>
          <a:endParaRPr lang="de-CH" sz="1050">
            <a:effectLst/>
            <a:latin typeface="Times New Roman" panose="02020603050405020304" pitchFamily="18" charset="0"/>
            <a:ea typeface="Times New Roman" panose="02020603050405020304" pitchFamily="18" charset="0"/>
          </a:endParaRPr>
        </a:p>
        <a:p>
          <a:pPr>
            <a:spcAft>
              <a:spcPts val="0"/>
            </a:spcAft>
          </a:pPr>
          <a:r>
            <a:rPr lang="de-CH" sz="1050">
              <a:effectLst/>
              <a:latin typeface="Arial" panose="020B0604020202020204" pitchFamily="34" charset="0"/>
              <a:ea typeface="Times New Roman" panose="02020603050405020304" pitchFamily="18" charset="0"/>
            </a:rPr>
            <a:t>Ausgangspunkt für die Berechnungen sind die dortigen «5x1 – Tabellen». Das heisst, die Sterbekoeffizienten qx zur Absterbe - Tafel (aus je 100000 Personen) sind jeweils aus fünf Altersjahren (z.B. 10 bis und mit 14 Jahre), gültig für </a:t>
          </a:r>
          <a:r>
            <a:rPr lang="de-CH" sz="1050" u="sng">
              <a:effectLst/>
              <a:latin typeface="Arial" panose="020B0604020202020204" pitchFamily="34" charset="0"/>
              <a:ea typeface="Times New Roman" panose="02020603050405020304" pitchFamily="18" charset="0"/>
            </a:rPr>
            <a:t>ein</a:t>
          </a:r>
          <a:r>
            <a:rPr lang="de-CH" sz="1050">
              <a:effectLst/>
              <a:latin typeface="Arial" panose="020B0604020202020204" pitchFamily="34" charset="0"/>
              <a:ea typeface="Times New Roman" panose="02020603050405020304" pitchFamily="18" charset="0"/>
            </a:rPr>
            <a:t> Erhebungsjahr (z.B. 2016) abgeleitet.</a:t>
          </a:r>
          <a:r>
            <a:rPr lang="de-CH" sz="1050">
              <a:effectLst/>
              <a:latin typeface="Times New Roman" panose="02020603050405020304" pitchFamily="18" charset="0"/>
              <a:ea typeface="Times New Roman" panose="02020603050405020304" pitchFamily="18" charset="0"/>
            </a:rPr>
            <a:t> </a:t>
          </a:r>
          <a:r>
            <a:rPr lang="de-DE" sz="1050">
              <a:effectLst/>
              <a:latin typeface="Arial" panose="020B0604020202020204" pitchFamily="34" charset="0"/>
              <a:ea typeface="Times New Roman" panose="02020603050405020304" pitchFamily="18" charset="0"/>
            </a:rPr>
            <a:t>Die Ergebnisse werden jeweils in Doppelspalten, getrennt für Männer und Frauen, dargestellt.</a:t>
          </a:r>
          <a:endParaRPr lang="de-CH" sz="1050">
            <a:effectLst/>
            <a:latin typeface="Times New Roman" panose="02020603050405020304" pitchFamily="18" charset="0"/>
            <a:ea typeface="Times New Roman" panose="02020603050405020304" pitchFamily="18" charset="0"/>
          </a:endParaRPr>
        </a:p>
        <a:p>
          <a:pPr>
            <a:spcAft>
              <a:spcPts val="0"/>
            </a:spcAft>
          </a:pPr>
          <a:r>
            <a:rPr lang="de-DE" sz="1050">
              <a:effectLst/>
              <a:latin typeface="Arial" panose="020B0604020202020204" pitchFamily="34" charset="0"/>
              <a:ea typeface="Times New Roman" panose="02020603050405020304" pitchFamily="18" charset="0"/>
            </a:rPr>
            <a:t> </a:t>
          </a:r>
          <a:endParaRPr lang="de-CH" sz="1050">
            <a:effectLst/>
            <a:latin typeface="Times New Roman" panose="02020603050405020304" pitchFamily="18" charset="0"/>
            <a:ea typeface="Times New Roman" panose="02020603050405020304" pitchFamily="18" charset="0"/>
          </a:endParaRPr>
        </a:p>
        <a:p>
          <a:pPr>
            <a:spcAft>
              <a:spcPts val="0"/>
            </a:spcAft>
          </a:pPr>
          <a:r>
            <a:rPr lang="de-CH" sz="1050">
              <a:effectLst/>
              <a:latin typeface="Arial" panose="020B0604020202020204" pitchFamily="34" charset="0"/>
              <a:ea typeface="Times New Roman" panose="02020603050405020304" pitchFamily="18" charset="0"/>
            </a:rPr>
            <a:t>Gegenüber den oft publizierten, sog. (1 x 1) – Statistiken (pro Erhebungsjahr und Altersjahr) oder den ebenfalls verwendeten (5 x 1) – Statistiken (5 – Jahres – Erhebungsperiode, pro Altersjahr </a:t>
          </a:r>
          <a:r>
            <a:rPr lang="de-CH" sz="1050">
              <a:effectLst/>
              <a:latin typeface="Arial" panose="020B0604020202020204" pitchFamily="34" charset="0"/>
              <a:ea typeface="Times New Roman" panose="02020603050405020304" pitchFamily="18" charset="0"/>
              <a:cs typeface="Arial" panose="020B0604020202020204" pitchFamily="34" charset="0"/>
              <a:sym typeface="Wingdings" panose="05000000000000000000" pitchFamily="2" charset="2"/>
            </a:rPr>
            <a:t></a:t>
          </a:r>
          <a:r>
            <a:rPr lang="de-CH" sz="1050">
              <a:effectLst/>
              <a:latin typeface="Arial" panose="020B0604020202020204" pitchFamily="34" charset="0"/>
              <a:ea typeface="Times New Roman" panose="02020603050405020304" pitchFamily="18" charset="0"/>
            </a:rPr>
            <a:t> Volkssterbetafeln) können sich minimale Unterschiede im Ergebnis ergeben. Auch deshalb, weil für eine kontinuierliche Berechnung wie vorliegend die diskret verteilten Tabellenwerte aus der Rohdaten – Statistik: Spalte dx «Anteil der Sterbenden vom Alter x» sowie Spalte ex «mittlere Restlebensdauer der x - Jährigen“ in bestmöglich angepasste Kurvenfunktionen umgelegt werden mussten. Da ferner die gesamte statistische Erhebung laut               </a:t>
          </a:r>
          <a:r>
            <a:rPr lang="de-CH" sz="1050" u="sng">
              <a:solidFill>
                <a:schemeClr val="accent5">
                  <a:lumMod val="75000"/>
                </a:schemeClr>
              </a:solidFill>
              <a:effectLst/>
              <a:latin typeface="Arial" panose="020B0604020202020204" pitchFamily="34" charset="0"/>
              <a:ea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http://www.lebenserwartung.info/index-Dateien/sterbetafel.htm</a:t>
          </a:r>
          <a:r>
            <a:rPr lang="de-CH" sz="1050" u="none" strike="noStrike">
              <a:solidFill>
                <a:srgbClr val="FF0000"/>
              </a:solidFill>
              <a:effectLst/>
              <a:latin typeface="Arial" panose="020B0604020202020204" pitchFamily="34" charset="0"/>
              <a:ea typeface="Times New Roman" panose="02020603050405020304" pitchFamily="18" charset="0"/>
            </a:rPr>
            <a:t>***</a:t>
          </a:r>
          <a:r>
            <a:rPr lang="de-CH" sz="1050">
              <a:solidFill>
                <a:srgbClr val="FF0000"/>
              </a:solidFill>
              <a:effectLst/>
              <a:latin typeface="Arial" panose="020B0604020202020204" pitchFamily="34" charset="0"/>
              <a:ea typeface="Times New Roman" panose="02020603050405020304" pitchFamily="18" charset="0"/>
            </a:rPr>
            <a:t> </a:t>
          </a:r>
          <a:r>
            <a:rPr lang="de-CH" sz="1050">
              <a:effectLst/>
              <a:latin typeface="Arial" panose="020B0604020202020204" pitchFamily="34" charset="0"/>
              <a:ea typeface="Times New Roman" panose="02020603050405020304" pitchFamily="18" charset="0"/>
            </a:rPr>
            <a:t>„ohnehin nur“ auf einer synthetischen Population (100’000-er Absterbe - Modell) beruht und dabei gewissen rechnerischen Konventionen unterliegt, können die hier berechneten Kennwerte aus kontinuierlicher Funktion resp. Ableitung gegenüber den Basisdaten sowie alternativen Tabellen für die Praxis als durchaus gleichwertig und aussagekräftig betrachtet werden.</a:t>
          </a:r>
          <a:endParaRPr lang="de-CH" sz="1050">
            <a:effectLst/>
            <a:latin typeface="Times New Roman" panose="02020603050405020304" pitchFamily="18" charset="0"/>
            <a:ea typeface="Times New Roman" panose="02020603050405020304" pitchFamily="18" charset="0"/>
          </a:endParaRPr>
        </a:p>
        <a:p>
          <a:pPr>
            <a:spcAft>
              <a:spcPts val="0"/>
            </a:spcAft>
          </a:pPr>
          <a:r>
            <a:rPr lang="de-CH" sz="1050">
              <a:effectLst/>
              <a:latin typeface="Arial" panose="020B0604020202020204" pitchFamily="34" charset="0"/>
              <a:ea typeface="Times New Roman" panose="02020603050405020304" pitchFamily="18" charset="0"/>
            </a:rPr>
            <a:t> </a:t>
          </a:r>
          <a:endParaRPr lang="de-CH" sz="1050">
            <a:effectLst/>
            <a:latin typeface="Times New Roman" panose="02020603050405020304" pitchFamily="18" charset="0"/>
            <a:ea typeface="Times New Roman" panose="02020603050405020304" pitchFamily="18" charset="0"/>
          </a:endParaRPr>
        </a:p>
        <a:p>
          <a:pPr>
            <a:spcAft>
              <a:spcPts val="0"/>
            </a:spcAft>
          </a:pPr>
          <a:r>
            <a:rPr lang="de-CH" sz="1050">
              <a:effectLst/>
              <a:latin typeface="Arial" panose="020B0604020202020204" pitchFamily="34" charset="0"/>
              <a:ea typeface="Times New Roman" panose="02020603050405020304" pitchFamily="18" charset="0"/>
            </a:rPr>
            <a:t> </a:t>
          </a:r>
          <a:endParaRPr lang="de-CH" sz="1050">
            <a:effectLst/>
            <a:latin typeface="Times New Roman" panose="02020603050405020304" pitchFamily="18" charset="0"/>
            <a:ea typeface="Times New Roman" panose="02020603050405020304" pitchFamily="18" charset="0"/>
          </a:endParaRPr>
        </a:p>
        <a:p>
          <a:pPr>
            <a:spcAft>
              <a:spcPts val="0"/>
            </a:spcAft>
          </a:pPr>
          <a:r>
            <a:rPr lang="de-CH" sz="1050" b="1">
              <a:effectLst/>
              <a:latin typeface="Arial" panose="020B0604020202020204" pitchFamily="34" charset="0"/>
              <a:ea typeface="Times New Roman" panose="02020603050405020304" pitchFamily="18" charset="0"/>
            </a:rPr>
            <a:t>Lesehilfe </a:t>
          </a:r>
        </a:p>
        <a:p>
          <a:pPr>
            <a:spcAft>
              <a:spcPts val="0"/>
            </a:spcAft>
          </a:pPr>
          <a:endParaRPr lang="de-CH" sz="1050">
            <a:effectLst/>
            <a:latin typeface="Times New Roman" panose="02020603050405020304" pitchFamily="18" charset="0"/>
            <a:ea typeface="Times New Roman" panose="02020603050405020304" pitchFamily="18" charset="0"/>
          </a:endParaRPr>
        </a:p>
        <a:p>
          <a:pPr>
            <a:spcAft>
              <a:spcPts val="0"/>
            </a:spcAft>
          </a:pPr>
          <a:r>
            <a:rPr lang="de-CH" sz="1050">
              <a:effectLst/>
              <a:latin typeface="Arial" panose="020B0604020202020204" pitchFamily="34" charset="0"/>
              <a:ea typeface="Times New Roman" panose="02020603050405020304" pitchFamily="18" charset="0"/>
            </a:rPr>
            <a:t>Innerhalb einer Tabelle findet sich auf der linken Seite eine Berechnungsmatrix, welche –  ausgehend von einem festzulegenden „Aktuellen Alter“ – die Festlegung von drei möglichen „Alterszielen“ vorsieht und dafür je die entsprechende Überlebenswahrscheinlichkeit sowie (bei tatsächlichem Erleben) die ab hier statistisch verbleibende, mittlere Restlebensdauer berechnet.</a:t>
          </a:r>
          <a:endParaRPr lang="de-CH" sz="1050">
            <a:effectLst/>
            <a:latin typeface="Times New Roman" panose="02020603050405020304" pitchFamily="18" charset="0"/>
            <a:ea typeface="Times New Roman" panose="02020603050405020304" pitchFamily="18" charset="0"/>
          </a:endParaRPr>
        </a:p>
        <a:p>
          <a:pPr>
            <a:spcAft>
              <a:spcPts val="0"/>
            </a:spcAft>
          </a:pPr>
          <a:r>
            <a:rPr lang="de-CH" sz="1050">
              <a:effectLst/>
              <a:latin typeface="Arial" panose="020B0604020202020204" pitchFamily="34" charset="0"/>
              <a:ea typeface="Times New Roman" panose="02020603050405020304" pitchFamily="18" charset="0"/>
            </a:rPr>
            <a:t> </a:t>
          </a:r>
          <a:endParaRPr lang="de-CH" sz="1050">
            <a:effectLst/>
            <a:latin typeface="Times New Roman" panose="02020603050405020304" pitchFamily="18" charset="0"/>
            <a:ea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050">
              <a:effectLst/>
              <a:latin typeface="Arial" panose="020B0604020202020204" pitchFamily="34" charset="0"/>
              <a:ea typeface="Times New Roman" panose="02020603050405020304" pitchFamily="18" charset="0"/>
            </a:rPr>
            <a:t>Auf der rechten Seite der gleichen Tabelle ist der umgekehrte Rechnungsgang möglich. Das heisst, dass – wiederum ausgehend von einem gewählten „Aktuellen Alter“ – für vorgegebene Überlebenswahrscheinlichkeiten das resultierende „Ziel – resp. Sterbealter“, und ab hier wiederum die alsdann statistisch noch verbleibende, mittlere  Restlebenszeit bestimmt wird. Selbstverständlich müssen bei entsprechenden Datenvorgaben die Resultate „links und rechts der Tabelle“ übereinstimmen.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CH" sz="1050" b="0" i="0" u="none" strike="noStrike" kern="0" cap="none" spc="0" normalizeH="0" baseline="0" noProof="0">
            <a:ln>
              <a:noFill/>
            </a:ln>
            <a:solidFill>
              <a:schemeClr val="tx1"/>
            </a:solidFill>
            <a:effectLst/>
            <a:uLnTx/>
            <a:uFillTx/>
            <a:latin typeface="Arial" panose="020B0604020202020204" pitchFamily="34"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Lediglich in Tabelle 1 (CH) können zudem «links - unten" nach Vorgabe eines «Aktuellen Alters» - gewissermassen als Spielerei – drei verschiedene Zielalter auch nach dem Zufallsprinzip generiert werden. Es folgen daraus wiederum die entsprechenden Überlebens - wahrscheinlichkeiten und die danach noch verbleibenden mittleren Restlebenszeiten.</a:t>
          </a:r>
          <a:endParaRPr kumimoji="0" lang="de-CH" sz="105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a:spcAft>
              <a:spcPts val="0"/>
            </a:spcAft>
          </a:pPr>
          <a:endParaRPr lang="de-CH" sz="1400">
            <a:effectLst/>
            <a:latin typeface="Times New Roman" panose="02020603050405020304" pitchFamily="18" charset="0"/>
            <a:ea typeface="Times New Roman" panose="02020603050405020304" pitchFamily="18" charset="0"/>
          </a:endParaRPr>
        </a:p>
        <a:p>
          <a:pPr>
            <a:spcAft>
              <a:spcPts val="0"/>
            </a:spcAft>
          </a:pPr>
          <a:endParaRPr lang="de-CH" sz="1200">
            <a:effectLst/>
            <a:latin typeface="Times New Roman" panose="02020603050405020304" pitchFamily="18" charset="0"/>
            <a:ea typeface="Times New Roman" panose="02020603050405020304" pitchFamily="18" charset="0"/>
          </a:endParaRPr>
        </a:p>
        <a:p>
          <a:pPr>
            <a:spcAft>
              <a:spcPts val="0"/>
            </a:spcAft>
          </a:pPr>
          <a:r>
            <a:rPr lang="de-CH" sz="1100">
              <a:effectLst/>
              <a:latin typeface="Arial" panose="020B0604020202020204" pitchFamily="34" charset="0"/>
              <a:ea typeface="Times New Roman" panose="02020603050405020304" pitchFamily="18" charset="0"/>
            </a:rPr>
            <a:t> </a:t>
          </a:r>
          <a:endParaRPr lang="de-CH" sz="1200">
            <a:effectLst/>
            <a:latin typeface="Times New Roman" panose="02020603050405020304" pitchFamily="18" charset="0"/>
            <a:ea typeface="Times New Roman" panose="02020603050405020304" pitchFamily="18" charset="0"/>
          </a:endParaRPr>
        </a:p>
        <a:p>
          <a:endParaRPr lang="de-CH" sz="1100"/>
        </a:p>
      </xdr:txBody>
    </xdr:sp>
    <xdr:clientData/>
  </xdr:oneCellAnchor>
  <xdr:oneCellAnchor>
    <xdr:from>
      <xdr:col>7</xdr:col>
      <xdr:colOff>125185</xdr:colOff>
      <xdr:row>1</xdr:row>
      <xdr:rowOff>130631</xdr:rowOff>
    </xdr:from>
    <xdr:ext cx="6438900" cy="6749140"/>
    <xdr:sp macro="" textlink="">
      <xdr:nvSpPr>
        <xdr:cNvPr id="3" name="Textfeld 2">
          <a:extLst>
            <a:ext uri="{FF2B5EF4-FFF2-40B4-BE49-F238E27FC236}">
              <a16:creationId xmlns:a16="http://schemas.microsoft.com/office/drawing/2014/main" id="{2BA983DA-40A3-40FD-8DB8-DE34069A4A2F}"/>
            </a:ext>
          </a:extLst>
        </xdr:cNvPr>
        <xdr:cNvSpPr txBox="1"/>
      </xdr:nvSpPr>
      <xdr:spPr>
        <a:xfrm>
          <a:off x="6330042" y="293917"/>
          <a:ext cx="6438900" cy="67491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spcAft>
              <a:spcPts val="0"/>
            </a:spcAft>
          </a:pPr>
          <a:r>
            <a:rPr lang="de-CH" sz="1100">
              <a:effectLst/>
              <a:latin typeface="Arial" panose="020B0604020202020204" pitchFamily="34" charset="0"/>
              <a:ea typeface="Times New Roman" panose="02020603050405020304" pitchFamily="18" charset="0"/>
            </a:rPr>
            <a:t> </a:t>
          </a: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a:t>
          </a:r>
          <a:r>
            <a:rPr kumimoji="0" lang="de-CH" sz="1050" b="1"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Praktischer Vorgang „links der Tabelle“</a:t>
          </a: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(Eingaben in hellgrünen Feldern):</a:t>
          </a:r>
        </a:p>
        <a:p>
          <a:pPr>
            <a:spcAft>
              <a:spcPts val="0"/>
            </a:spcAft>
          </a:pPr>
          <a:endParaRPr kumimoji="0" lang="de-CH" sz="105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342900" marR="0" lvl="0" indent="-342900" defTabSz="914400" eaLnBrk="1" fontAlgn="auto" latinLnBrk="0" hangingPunct="1">
            <a:lnSpc>
              <a:spcPct val="100000"/>
            </a:lnSpc>
            <a:spcBef>
              <a:spcPts val="0"/>
            </a:spcBef>
            <a:spcAft>
              <a:spcPts val="0"/>
            </a:spcAft>
            <a:buClrTx/>
            <a:buSzTx/>
            <a:buFont typeface="+mj-lt"/>
            <a:buAutoNum type="alphaLcParenR"/>
            <a:tabLst>
              <a:tab pos="228600" algn="l"/>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Festlegung eines „Aktuellen Alters“ (Feld C11)</a:t>
          </a:r>
          <a:endParaRPr kumimoji="0" lang="de-CH" sz="105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342900" marR="0" lvl="0" indent="-342900" defTabSz="914400" eaLnBrk="1" fontAlgn="auto" latinLnBrk="0" hangingPunct="1">
            <a:lnSpc>
              <a:spcPct val="100000"/>
            </a:lnSpc>
            <a:spcBef>
              <a:spcPts val="0"/>
            </a:spcBef>
            <a:spcAft>
              <a:spcPts val="0"/>
            </a:spcAft>
            <a:buClrTx/>
            <a:buSzTx/>
            <a:buFont typeface="+mj-lt"/>
            <a:buAutoNum type="alphaLcParenR"/>
            <a:tabLst>
              <a:tab pos="228600" algn="l"/>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Festlegung eines „wünschbaren Zielalters“ (Feld C13)</a:t>
          </a:r>
          <a:endParaRPr kumimoji="0" lang="de-CH" sz="105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342900" marR="0" lvl="0" indent="-342900" defTabSz="914400" eaLnBrk="1" fontAlgn="auto" latinLnBrk="0" hangingPunct="1">
            <a:lnSpc>
              <a:spcPct val="100000"/>
            </a:lnSpc>
            <a:spcBef>
              <a:spcPts val="0"/>
            </a:spcBef>
            <a:spcAft>
              <a:spcPts val="0"/>
            </a:spcAft>
            <a:buClrTx/>
            <a:buSzTx/>
            <a:buFont typeface="+mj-lt"/>
            <a:buAutoNum type="alphaLcParenR"/>
            <a:tabLst>
              <a:tab pos="228600" algn="l"/>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Festlegung eines „erhöhten Sterbealters“ (Feld C14) mit „ab hier“ resultierender, neuerlicher Überlebenswahrscheinlichkeit und Restlebensdauer, falls das „wünschbare Zielalter“ mit berechneter Überlebenswahrscheinlichkeit und „ab dort“ ausgewiesener mittlerer Restlebenszeit tatsächlich erreicht wird</a:t>
          </a:r>
          <a:endParaRPr kumimoji="0" lang="de-CH" sz="105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342900" marR="0" lvl="0" indent="-342900" defTabSz="914400" eaLnBrk="1" fontAlgn="auto" latinLnBrk="0" hangingPunct="1">
            <a:lnSpc>
              <a:spcPct val="100000"/>
            </a:lnSpc>
            <a:spcBef>
              <a:spcPts val="0"/>
            </a:spcBef>
            <a:spcAft>
              <a:spcPts val="0"/>
            </a:spcAft>
            <a:buClrTx/>
            <a:buSzTx/>
            <a:buFont typeface="+mj-lt"/>
            <a:buAutoNum type="alphaLcParenR"/>
            <a:tabLst>
              <a:tab pos="228600" algn="l"/>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Festlegung eines „reduzierten Sterbealters“ (Feld C12) mit resultierender Wahrscheinlichkeit für jene Fälle, wo das „wünschbare Zielalter“ </a:t>
          </a:r>
          <a:r>
            <a:rPr kumimoji="0" lang="de-CH" sz="1050" b="0" i="0" u="sng"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nicht</a:t>
          </a: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erreicht wird. Auch hier mit berechneter, dann noch verbleibender mittlerer Restlebenszeit, wobei deren Addition mit dem „reduzierten Zielalter“ unterhalb des „wünschbaren Zielalters“ liegt.                                                                                              </a:t>
          </a:r>
        </a:p>
        <a:p>
          <a:pPr marL="342900" marR="0" lvl="0" indent="-342900" defTabSz="914400" eaLnBrk="1" fontAlgn="auto" latinLnBrk="0" hangingPunct="1">
            <a:lnSpc>
              <a:spcPct val="100000"/>
            </a:lnSpc>
            <a:spcBef>
              <a:spcPts val="0"/>
            </a:spcBef>
            <a:spcAft>
              <a:spcPts val="0"/>
            </a:spcAft>
            <a:buClrTx/>
            <a:buSzTx/>
            <a:buFont typeface="+mj-lt"/>
            <a:buAutoNum type="alphaLcParenR"/>
            <a:tabLst>
              <a:tab pos="228600" algn="l"/>
            </a:tabLst>
            <a:defRPr/>
          </a:pPr>
          <a:endParaRPr kumimoji="0" lang="de-CH" sz="105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Unten anschliessend ist die „umgekehrte Vorgabe“ </a:t>
          </a: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Arial" panose="020B0604020202020204" pitchFamily="34" charset="0"/>
              <a:sym typeface="Wingdings" panose="05000000000000000000" pitchFamily="2" charset="2"/>
            </a:rPr>
            <a:t></a:t>
          </a: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«Prozentwert der Überlebenswahrscheinlichkeit» möglich – so beispielsweise der Zentralwert (50%) – woraus sich aus der Berechnung das zugehörige Zielalter ergibt. Analoges auch bei «Tabelle rechts».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CH" sz="105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a:t>
          </a:r>
          <a:r>
            <a:rPr kumimoji="0" lang="de-CH" sz="1050" b="1"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Praktischer Vorgang „rechts der Tabelle“</a:t>
          </a: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(Eingaben in hellgrünen Feldern):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CH" sz="105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342900" marR="0" lvl="0" indent="-342900" defTabSz="914400" eaLnBrk="1" fontAlgn="auto" latinLnBrk="0" hangingPunct="1">
            <a:lnSpc>
              <a:spcPct val="100000"/>
            </a:lnSpc>
            <a:spcBef>
              <a:spcPts val="0"/>
            </a:spcBef>
            <a:spcAft>
              <a:spcPts val="0"/>
            </a:spcAft>
            <a:buClrTx/>
            <a:buSzTx/>
            <a:buFont typeface="+mj-lt"/>
            <a:buAutoNum type="alphaLcParenR"/>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Festlegung eines „Aktuellen Alters“ (Feld M11; N11)</a:t>
          </a:r>
          <a:endParaRPr kumimoji="0" lang="de-CH" sz="105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342900" marR="0" lvl="0" indent="-342900" defTabSz="914400" eaLnBrk="1" fontAlgn="auto" latinLnBrk="0" hangingPunct="1">
            <a:lnSpc>
              <a:spcPct val="100000"/>
            </a:lnSpc>
            <a:spcBef>
              <a:spcPts val="0"/>
            </a:spcBef>
            <a:spcAft>
              <a:spcPts val="0"/>
            </a:spcAft>
            <a:buClrTx/>
            <a:buSzTx/>
            <a:buFont typeface="+mj-lt"/>
            <a:buAutoNum type="alphaLcParenR"/>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Festlegung einer beliebigen Überlebenswahrscheinlichkeit (Feld M13, N13)</a:t>
          </a:r>
          <a:endParaRPr kumimoji="0" lang="de-CH" sz="105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342900" marR="0" lvl="0" indent="-342900" defTabSz="914400" eaLnBrk="1" fontAlgn="auto" latinLnBrk="0" hangingPunct="1">
            <a:lnSpc>
              <a:spcPct val="100000"/>
            </a:lnSpc>
            <a:spcBef>
              <a:spcPts val="0"/>
            </a:spcBef>
            <a:spcAft>
              <a:spcPts val="0"/>
            </a:spcAft>
            <a:buClrTx/>
            <a:buSzTx/>
            <a:buFont typeface="+mj-lt"/>
            <a:buAutoNum type="alphaLcParenR"/>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Festlegung einer weiteren Überlebenswahrscheinlichkeit (Feld M14, N14)  </a:t>
          </a:r>
          <a:endParaRPr kumimoji="0" lang="de-CH" sz="105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342900" marR="0" lvl="0" indent="-342900" defTabSz="914400" eaLnBrk="1" fontAlgn="auto" latinLnBrk="0" hangingPunct="1">
            <a:lnSpc>
              <a:spcPct val="100000"/>
            </a:lnSpc>
            <a:spcBef>
              <a:spcPts val="0"/>
            </a:spcBef>
            <a:spcAft>
              <a:spcPts val="0"/>
            </a:spcAft>
            <a:buClrTx/>
            <a:buSzTx/>
            <a:buFont typeface="+mj-lt"/>
            <a:buAutoNum type="alphaLcParenR"/>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Festlegung einer dritten Überlebenswahrscheinlichkeit (Feld M12, N12) </a:t>
          </a:r>
          <a:endParaRPr kumimoji="0" lang="de-CH" sz="105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a:t>
          </a:r>
          <a:endParaRPr kumimoji="0" lang="de-CH" sz="105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Als Ergebnisse werden geliefert: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CH" sz="105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Feld M19, N19: Das mit Wahrscheinlichkeitsvorgabe (Feld M13, N13) vorhandene Alter </a:t>
          </a:r>
        </a:p>
        <a:p>
          <a:pPr marL="0" marR="0" lvl="0" indent="0" defTabSz="914400" eaLnBrk="1" fontAlgn="auto" latinLnBrk="0" hangingPunct="1">
            <a:lnSpc>
              <a:spcPct val="100000"/>
            </a:lnSpc>
            <a:spcBef>
              <a:spcPts val="0"/>
            </a:spcBef>
            <a:spcAft>
              <a:spcPts val="0"/>
            </a:spcAft>
            <a:buClrTx/>
            <a:buSzTx/>
            <a:buFontTx/>
            <a:buNone/>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Feld M23, N23: Die Wahrscheinlichkeit, das «Aktuelle Alter» zu überleben (wie C23, D23)</a:t>
          </a:r>
          <a:endParaRPr kumimoji="0" lang="de-CH" sz="105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Feld M29, N29: Das mit Wahrscheinlichkeitsvorgabe (Feld M14, N14) errechnete (höhere)</a:t>
          </a:r>
        </a:p>
        <a:p>
          <a:pPr marL="0" marR="0" lvl="0" indent="0" defTabSz="914400" eaLnBrk="1" fontAlgn="auto" latinLnBrk="0" hangingPunct="1">
            <a:lnSpc>
              <a:spcPct val="100000"/>
            </a:lnSpc>
            <a:spcBef>
              <a:spcPts val="0"/>
            </a:spcBef>
            <a:spcAft>
              <a:spcPts val="0"/>
            </a:spcAft>
            <a:buClrTx/>
            <a:buSzTx/>
            <a:buFontTx/>
            <a:buNone/>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Alter, unter der Voraussetzung, dass das Alter laut Feld M19, N19</a:t>
          </a:r>
        </a:p>
        <a:p>
          <a:pPr marL="0" marR="0" lvl="0" indent="0" defTabSz="914400" eaLnBrk="1" fontAlgn="auto" latinLnBrk="0" hangingPunct="1">
            <a:lnSpc>
              <a:spcPct val="100000"/>
            </a:lnSpc>
            <a:spcBef>
              <a:spcPts val="0"/>
            </a:spcBef>
            <a:spcAft>
              <a:spcPts val="0"/>
            </a:spcAft>
            <a:buClrTx/>
            <a:buSzTx/>
            <a:buFontTx/>
            <a:buNone/>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tatsächlich erreicht wird.</a:t>
          </a:r>
          <a:endParaRPr kumimoji="0" lang="de-CH" sz="105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a:t>
          </a:r>
          <a:endParaRPr kumimoji="0" lang="de-CH" sz="105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Feld M33, N33: Das mit Wahrscheinlichkeitsvorgabe (Feld M12, N12) errechnete (reduzierte) Alter, falls </a:t>
          </a:r>
        </a:p>
        <a:p>
          <a:pPr marL="0" marR="0" lvl="0" indent="0" defTabSz="914400" eaLnBrk="1" fontAlgn="auto" latinLnBrk="0" hangingPunct="1">
            <a:lnSpc>
              <a:spcPct val="100000"/>
            </a:lnSpc>
            <a:spcBef>
              <a:spcPts val="0"/>
            </a:spcBef>
            <a:spcAft>
              <a:spcPts val="0"/>
            </a:spcAft>
            <a:buClrTx/>
            <a:buSzTx/>
            <a:buFontTx/>
            <a:buNone/>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jenes laut Feld M19, N19 </a:t>
          </a:r>
          <a:r>
            <a:rPr kumimoji="0" lang="de-CH" sz="1050" b="0" i="0" u="sng"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nicht</a:t>
          </a: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erreicht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CH" sz="105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Die ab gegebenem resp. berechnetem Alter (Felder M11, N11; M19, N19; M29, N29; M33, N33) jeweils noch verbleibende mittlere Restlebenszeit (Felder P11, Q11; P19, Q19; P29, Q29; P33; Q33). </a:t>
          </a:r>
          <a:endParaRPr kumimoji="0" lang="de-CH" sz="1050" b="1"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CH" sz="1050" b="1"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050" b="1"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Schlussbemerkung</a:t>
          </a:r>
          <a:endParaRPr kumimoji="0" lang="de-CH" sz="105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Zu gegebener Zeit kann das vorliegende Abfragemodell nach aktualisierten Rohdaten von </a:t>
          </a:r>
          <a:r>
            <a:rPr kumimoji="0" lang="de-CH" sz="1050" b="0" i="0" u="sng" strike="noStrike" kern="0" cap="none" spc="0" normalizeH="0" baseline="0" noProof="0">
              <a:ln>
                <a:noFill/>
              </a:ln>
              <a:solidFill>
                <a:srgbClr val="0000FF"/>
              </a:solidFill>
              <a:effectLst/>
              <a:uLnTx/>
              <a:uFillTx/>
              <a:latin typeface="Arial" panose="020B0604020202020204" pitchFamily="34" charset="0"/>
              <a:ea typeface="Times New Roman" panose="02020603050405020304" pitchFamily="18" charset="0"/>
              <a:cs typeface="+mn-cs"/>
              <a:hlinkClick xmlns:r="http://schemas.openxmlformats.org/officeDocument/2006/relationships" r:id="">
                <a:extLst>
                  <a:ext uri="{A12FA001-AC4F-418D-AE19-62706E023703}">
                    <ahyp:hlinkClr xmlns:ahyp="http://schemas.microsoft.com/office/drawing/2018/hyperlinkcolor" val="tx"/>
                  </a:ext>
                </a:extLst>
              </a:hlinkClick>
            </a:rPr>
            <a:t>www.mortality.org</a:t>
          </a:r>
          <a:r>
            <a:rPr kumimoji="0" lang="de-CH" sz="1050" b="0" i="0" u="sng" strike="noStrike" kern="0" cap="none" spc="0" normalizeH="0" baseline="0" noProof="0">
              <a:ln>
                <a:noFill/>
              </a:ln>
              <a:solidFill>
                <a:srgbClr val="0000FF"/>
              </a:solidFill>
              <a:effectLst/>
              <a:uLnTx/>
              <a:uFillTx/>
              <a:latin typeface="Arial" panose="020B0604020202020204" pitchFamily="34" charset="0"/>
              <a:ea typeface="Times New Roman" panose="02020603050405020304" pitchFamily="18" charset="0"/>
              <a:cs typeface="+mn-cs"/>
            </a:rPr>
            <a:t> </a:t>
          </a:r>
          <a:r>
            <a:rPr kumimoji="0" lang="de-CH" sz="1050" b="0" i="0" u="none" strike="noStrike" kern="0" cap="none" spc="0" normalizeH="0" baseline="0" noProof="0">
              <a:ln>
                <a:noFill/>
              </a:ln>
              <a:solidFill>
                <a:srgbClr val="FF0000"/>
              </a:solidFill>
              <a:effectLst/>
              <a:uLnTx/>
              <a:uFillTx/>
              <a:latin typeface="Arial" panose="020B0604020202020204" pitchFamily="34" charset="0"/>
              <a:ea typeface="Times New Roman" panose="02020603050405020304" pitchFamily="18" charset="0"/>
              <a:cs typeface="+mn-cs"/>
            </a:rPr>
            <a:t>***</a:t>
          </a: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länderweise angepasst oder ausgebaut werden.</a:t>
          </a:r>
          <a:endParaRPr kumimoji="0" lang="de-CH" sz="105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CH" sz="14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CH" sz="105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rPr>
            <a:t>                                                                                                                                              </a:t>
          </a:r>
          <a:r>
            <a:rPr kumimoji="0" lang="de-CH" sz="105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September 2018 /Ba.</a:t>
          </a:r>
          <a:endParaRPr kumimoji="0" lang="de-CH" sz="105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pPr>
            <a:spcAft>
              <a:spcPts val="0"/>
            </a:spcAft>
          </a:pPr>
          <a:r>
            <a:rPr lang="de-CH" sz="1100">
              <a:effectLst/>
              <a:latin typeface="Arial" panose="020B0604020202020204" pitchFamily="34" charset="0"/>
              <a:ea typeface="Times New Roman" panose="02020603050405020304" pitchFamily="18" charset="0"/>
            </a:rPr>
            <a:t>					</a:t>
          </a:r>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ebenserwartung.info/index-Dateien/sterbetafel.htm" TargetMode="External"/><Relationship Id="rId1" Type="http://schemas.openxmlformats.org/officeDocument/2006/relationships/hyperlink" Target="http://www.mortality.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B8CA8-9452-402F-ACCB-DCC804979E15}">
  <dimension ref="A1:T59"/>
  <sheetViews>
    <sheetView tabSelected="1" zoomScale="70" workbookViewId="0">
      <selection sqref="A1:XFD1048576"/>
    </sheetView>
  </sheetViews>
  <sheetFormatPr baseColWidth="10" defaultRowHeight="13.2" x14ac:dyDescent="0.25"/>
  <cols>
    <col min="7" max="7" width="21" customWidth="1"/>
    <col min="8" max="8" width="17.109375" customWidth="1"/>
    <col min="9" max="9" width="33.77734375" customWidth="1"/>
    <col min="10" max="12" width="11.5546875" customWidth="1"/>
    <col min="14" max="14" width="17" customWidth="1"/>
  </cols>
  <sheetData>
    <row r="1" spans="1:20" x14ac:dyDescent="0.25">
      <c r="A1" s="1"/>
      <c r="B1" s="1"/>
      <c r="C1" s="1"/>
      <c r="D1" s="1"/>
      <c r="E1" s="1"/>
      <c r="F1" s="1"/>
      <c r="G1" s="1"/>
      <c r="H1" s="1"/>
      <c r="I1" s="1"/>
      <c r="J1" s="1"/>
      <c r="K1" s="1"/>
      <c r="L1" s="1"/>
      <c r="M1" s="1"/>
      <c r="N1" s="221"/>
      <c r="O1" s="222"/>
      <c r="P1" s="222"/>
      <c r="Q1" s="222"/>
      <c r="R1" s="222"/>
      <c r="S1" s="222"/>
      <c r="T1" s="222"/>
    </row>
    <row r="2" spans="1:20" x14ac:dyDescent="0.25">
      <c r="A2" s="1"/>
      <c r="B2" s="1"/>
      <c r="C2" s="1"/>
      <c r="D2" s="1"/>
      <c r="E2" s="1"/>
      <c r="F2" s="1"/>
      <c r="G2" s="1"/>
      <c r="H2" s="1"/>
      <c r="I2" s="1"/>
      <c r="J2" s="1"/>
      <c r="K2" s="1"/>
      <c r="L2" s="1"/>
      <c r="M2" s="1"/>
      <c r="N2" s="221"/>
      <c r="O2" s="222"/>
      <c r="P2" s="222"/>
      <c r="Q2" s="222"/>
      <c r="R2" s="222"/>
      <c r="S2" s="222"/>
      <c r="T2" s="222"/>
    </row>
    <row r="3" spans="1:20" x14ac:dyDescent="0.25">
      <c r="A3" s="1"/>
      <c r="B3" s="1"/>
      <c r="C3" s="1"/>
      <c r="D3" s="1"/>
      <c r="E3" s="1"/>
      <c r="F3" s="1"/>
      <c r="G3" s="1"/>
      <c r="H3" s="1"/>
      <c r="I3" s="1"/>
      <c r="J3" s="1"/>
      <c r="K3" s="1"/>
      <c r="L3" s="1"/>
      <c r="M3" s="1"/>
      <c r="N3" s="221"/>
      <c r="O3" s="222"/>
      <c r="P3" s="222"/>
      <c r="Q3" s="222"/>
      <c r="R3" s="222"/>
      <c r="S3" s="222"/>
      <c r="T3" s="222"/>
    </row>
    <row r="4" spans="1:20" x14ac:dyDescent="0.25">
      <c r="A4" s="1"/>
      <c r="B4" s="1"/>
      <c r="C4" s="1"/>
      <c r="D4" s="1"/>
      <c r="E4" s="1"/>
      <c r="F4" s="1"/>
      <c r="G4" s="1"/>
      <c r="H4" s="1"/>
      <c r="I4" s="1"/>
      <c r="J4" s="1"/>
      <c r="K4" s="1"/>
      <c r="L4" s="1"/>
      <c r="M4" s="1"/>
      <c r="N4" s="221"/>
      <c r="O4" s="222"/>
      <c r="P4" s="222"/>
      <c r="Q4" s="222"/>
      <c r="R4" s="222"/>
      <c r="S4" s="222"/>
      <c r="T4" s="222"/>
    </row>
    <row r="5" spans="1:20" x14ac:dyDescent="0.25">
      <c r="A5" s="1"/>
      <c r="B5" s="1"/>
      <c r="C5" s="1"/>
      <c r="D5" s="1"/>
      <c r="E5" s="1"/>
      <c r="F5" s="1"/>
      <c r="G5" s="1"/>
      <c r="H5" s="1"/>
      <c r="I5" s="1"/>
      <c r="J5" s="1"/>
      <c r="K5" s="1"/>
      <c r="L5" s="1"/>
      <c r="M5" s="1"/>
      <c r="N5" s="221"/>
      <c r="O5" s="222"/>
      <c r="P5" s="222"/>
      <c r="Q5" s="222"/>
      <c r="R5" s="222"/>
      <c r="S5" s="222"/>
      <c r="T5" s="222"/>
    </row>
    <row r="6" spans="1:20" x14ac:dyDescent="0.25">
      <c r="A6" s="1"/>
      <c r="B6" s="1"/>
      <c r="C6" s="1"/>
      <c r="D6" s="1"/>
      <c r="E6" s="1"/>
      <c r="F6" s="1"/>
      <c r="G6" s="1"/>
      <c r="H6" s="1"/>
      <c r="I6" s="1"/>
      <c r="J6" s="1"/>
      <c r="K6" s="1"/>
      <c r="L6" s="1"/>
      <c r="M6" s="1"/>
      <c r="N6" s="221"/>
      <c r="O6" s="222"/>
      <c r="P6" s="222"/>
      <c r="Q6" s="222"/>
      <c r="R6" s="222"/>
      <c r="S6" s="222"/>
      <c r="T6" s="222"/>
    </row>
    <row r="7" spans="1:20" x14ac:dyDescent="0.25">
      <c r="A7" s="1"/>
      <c r="B7" s="1"/>
      <c r="C7" s="1"/>
      <c r="D7" s="1"/>
      <c r="E7" s="1"/>
      <c r="F7" s="1"/>
      <c r="G7" s="1"/>
      <c r="H7" s="1"/>
      <c r="I7" s="1"/>
      <c r="J7" s="1"/>
      <c r="K7" s="1"/>
      <c r="L7" s="1"/>
      <c r="M7" s="1"/>
      <c r="N7" s="221"/>
      <c r="O7" s="222"/>
      <c r="P7" s="222"/>
      <c r="Q7" s="222"/>
      <c r="R7" s="222"/>
      <c r="S7" s="222"/>
      <c r="T7" s="222"/>
    </row>
    <row r="8" spans="1:20" x14ac:dyDescent="0.25">
      <c r="A8" s="1"/>
      <c r="B8" s="1"/>
      <c r="C8" s="1"/>
      <c r="D8" s="1"/>
      <c r="E8" s="1"/>
      <c r="F8" s="1"/>
      <c r="G8" s="1"/>
      <c r="H8" s="1"/>
      <c r="I8" s="1"/>
      <c r="J8" s="1"/>
      <c r="K8" s="1"/>
      <c r="L8" s="1"/>
      <c r="M8" s="1"/>
      <c r="N8" s="221"/>
      <c r="O8" s="222"/>
      <c r="P8" s="222"/>
      <c r="Q8" s="222"/>
      <c r="R8" s="222"/>
      <c r="S8" s="222"/>
      <c r="T8" s="222"/>
    </row>
    <row r="9" spans="1:20" x14ac:dyDescent="0.25">
      <c r="A9" s="1"/>
      <c r="B9" s="1"/>
      <c r="C9" s="1"/>
      <c r="D9" s="1"/>
      <c r="E9" s="1"/>
      <c r="F9" s="1"/>
      <c r="G9" s="1"/>
      <c r="H9" s="1"/>
      <c r="I9" s="1"/>
      <c r="J9" s="1"/>
      <c r="K9" s="1"/>
      <c r="L9" s="1"/>
      <c r="M9" s="1"/>
      <c r="N9" s="221"/>
      <c r="O9" s="222"/>
      <c r="P9" s="222"/>
      <c r="Q9" s="222"/>
      <c r="R9" s="222"/>
      <c r="S9" s="222"/>
      <c r="T9" s="222"/>
    </row>
    <row r="10" spans="1:20" x14ac:dyDescent="0.25">
      <c r="A10" s="1"/>
      <c r="B10" s="1"/>
      <c r="C10" s="1"/>
      <c r="D10" s="1"/>
      <c r="E10" s="1"/>
      <c r="F10" s="1"/>
      <c r="G10" s="1"/>
      <c r="H10" s="1"/>
      <c r="I10" s="1"/>
      <c r="J10" s="1"/>
      <c r="K10" s="1"/>
      <c r="L10" s="1"/>
      <c r="M10" s="1"/>
      <c r="N10" s="221"/>
      <c r="O10" s="222"/>
      <c r="P10" s="222"/>
      <c r="Q10" s="222"/>
      <c r="R10" s="222"/>
      <c r="S10" s="222"/>
      <c r="T10" s="222"/>
    </row>
    <row r="11" spans="1:20" x14ac:dyDescent="0.25">
      <c r="A11" s="1"/>
      <c r="B11" s="1"/>
      <c r="C11" s="1"/>
      <c r="D11" s="1"/>
      <c r="E11" s="1"/>
      <c r="F11" s="1"/>
      <c r="G11" s="1"/>
      <c r="H11" s="1"/>
      <c r="I11" s="1"/>
      <c r="J11" s="1"/>
      <c r="K11" s="1"/>
      <c r="L11" s="1"/>
      <c r="M11" s="1"/>
      <c r="N11" s="221"/>
      <c r="O11" s="222"/>
      <c r="P11" s="222"/>
      <c r="Q11" s="222"/>
      <c r="R11" s="222"/>
      <c r="S11" s="222"/>
      <c r="T11" s="222"/>
    </row>
    <row r="12" spans="1:20" x14ac:dyDescent="0.25">
      <c r="A12" s="1"/>
      <c r="B12" s="1"/>
      <c r="C12" s="1"/>
      <c r="D12" s="1"/>
      <c r="E12" s="1"/>
      <c r="F12" s="1"/>
      <c r="G12" s="1"/>
      <c r="H12" s="1"/>
      <c r="I12" s="1"/>
      <c r="J12" s="1"/>
      <c r="K12" s="1"/>
      <c r="L12" s="1"/>
      <c r="M12" s="1"/>
      <c r="N12" s="221"/>
      <c r="O12" s="222"/>
      <c r="P12" s="222"/>
      <c r="Q12" s="222"/>
      <c r="R12" s="222"/>
      <c r="S12" s="222"/>
      <c r="T12" s="222"/>
    </row>
    <row r="13" spans="1:20" x14ac:dyDescent="0.25">
      <c r="A13" s="1"/>
      <c r="B13" s="1"/>
      <c r="C13" s="1"/>
      <c r="D13" s="1"/>
      <c r="E13" s="1"/>
      <c r="F13" s="1"/>
      <c r="G13" s="1"/>
      <c r="H13" s="1"/>
      <c r="I13" s="1"/>
      <c r="J13" s="1"/>
      <c r="K13" s="1"/>
      <c r="L13" s="1"/>
      <c r="M13" s="1"/>
      <c r="N13" s="221"/>
      <c r="O13" s="222"/>
      <c r="P13" s="222"/>
      <c r="Q13" s="222"/>
      <c r="R13" s="222"/>
      <c r="S13" s="222"/>
      <c r="T13" s="222"/>
    </row>
    <row r="14" spans="1:20" x14ac:dyDescent="0.25">
      <c r="A14" s="1"/>
      <c r="B14" s="1"/>
      <c r="C14" s="1"/>
      <c r="D14" s="1"/>
      <c r="E14" s="1"/>
      <c r="F14" s="1"/>
      <c r="G14" s="1"/>
      <c r="H14" s="1"/>
      <c r="I14" s="1"/>
      <c r="J14" s="1"/>
      <c r="K14" s="1"/>
      <c r="L14" s="1"/>
      <c r="M14" s="1"/>
      <c r="N14" s="221"/>
      <c r="O14" s="222"/>
      <c r="P14" s="222"/>
      <c r="Q14" s="222"/>
      <c r="R14" s="222"/>
      <c r="S14" s="222"/>
      <c r="T14" s="222"/>
    </row>
    <row r="15" spans="1:20" x14ac:dyDescent="0.25">
      <c r="A15" s="1"/>
      <c r="B15" s="1"/>
      <c r="C15" s="1"/>
      <c r="D15" s="1"/>
      <c r="E15" s="1"/>
      <c r="F15" s="1"/>
      <c r="G15" s="1"/>
      <c r="H15" s="1"/>
      <c r="I15" s="1"/>
      <c r="J15" s="1"/>
      <c r="K15" s="1"/>
      <c r="L15" s="1"/>
      <c r="M15" s="1"/>
      <c r="N15" s="221"/>
      <c r="O15" s="222"/>
      <c r="P15" s="222"/>
      <c r="Q15" s="222"/>
      <c r="R15" s="222"/>
      <c r="S15" s="222"/>
      <c r="T15" s="222"/>
    </row>
    <row r="16" spans="1:20" x14ac:dyDescent="0.25">
      <c r="A16" s="1"/>
      <c r="B16" s="1"/>
      <c r="C16" s="1"/>
      <c r="D16" s="1"/>
      <c r="E16" s="1"/>
      <c r="F16" s="1"/>
      <c r="G16" s="1"/>
      <c r="H16" s="1"/>
      <c r="I16" s="1"/>
      <c r="J16" s="1"/>
      <c r="K16" s="1"/>
      <c r="L16" s="1"/>
      <c r="M16" s="1"/>
      <c r="N16" s="221"/>
      <c r="O16" s="222"/>
      <c r="P16" s="222"/>
      <c r="Q16" s="222"/>
      <c r="R16" s="222"/>
      <c r="S16" s="222"/>
      <c r="T16" s="222"/>
    </row>
    <row r="17" spans="1:20" x14ac:dyDescent="0.25">
      <c r="A17" s="1"/>
      <c r="B17" s="1"/>
      <c r="C17" s="1"/>
      <c r="D17" s="1"/>
      <c r="E17" s="1"/>
      <c r="F17" s="1"/>
      <c r="G17" s="1"/>
      <c r="H17" s="1"/>
      <c r="I17" s="1"/>
      <c r="J17" s="1"/>
      <c r="K17" s="1"/>
      <c r="L17" s="1"/>
      <c r="M17" s="1"/>
      <c r="N17" s="221"/>
      <c r="O17" s="222"/>
      <c r="P17" s="222"/>
      <c r="Q17" s="222"/>
      <c r="R17" s="222"/>
      <c r="S17" s="222"/>
      <c r="T17" s="222"/>
    </row>
    <row r="18" spans="1:20" x14ac:dyDescent="0.25">
      <c r="A18" s="1"/>
      <c r="B18" s="1"/>
      <c r="C18" s="1"/>
      <c r="D18" s="1"/>
      <c r="E18" s="1"/>
      <c r="F18" s="1"/>
      <c r="G18" s="1"/>
      <c r="H18" s="1"/>
      <c r="I18" s="1"/>
      <c r="J18" s="1"/>
      <c r="K18" s="1"/>
      <c r="L18" s="1"/>
      <c r="M18" s="1"/>
      <c r="N18" s="221"/>
      <c r="O18" s="222"/>
      <c r="P18" s="222"/>
      <c r="Q18" s="222"/>
      <c r="R18" s="222"/>
      <c r="S18" s="222"/>
      <c r="T18" s="222"/>
    </row>
    <row r="19" spans="1:20" x14ac:dyDescent="0.25">
      <c r="A19" s="1"/>
      <c r="B19" s="1"/>
      <c r="C19" s="1"/>
      <c r="D19" s="1"/>
      <c r="E19" s="1"/>
      <c r="F19" s="1"/>
      <c r="G19" s="1"/>
      <c r="H19" s="1"/>
      <c r="I19" s="1"/>
      <c r="J19" s="1"/>
      <c r="K19" s="1"/>
      <c r="L19" s="1"/>
      <c r="M19" s="1"/>
      <c r="N19" s="221"/>
      <c r="O19" s="222"/>
      <c r="P19" s="222"/>
      <c r="Q19" s="222"/>
      <c r="R19" s="222"/>
      <c r="S19" s="222"/>
      <c r="T19" s="222"/>
    </row>
    <row r="20" spans="1:20" x14ac:dyDescent="0.25">
      <c r="A20" s="1"/>
      <c r="B20" s="1"/>
      <c r="C20" s="1"/>
      <c r="D20" s="1"/>
      <c r="E20" s="1"/>
      <c r="F20" s="1"/>
      <c r="G20" s="1"/>
      <c r="H20" s="1"/>
      <c r="I20" s="1"/>
      <c r="J20" s="1"/>
      <c r="K20" s="1"/>
      <c r="L20" s="1"/>
      <c r="M20" s="1"/>
      <c r="N20" s="221"/>
      <c r="O20" s="222"/>
      <c r="P20" s="222"/>
      <c r="Q20" s="222"/>
      <c r="R20" s="222"/>
      <c r="S20" s="222"/>
      <c r="T20" s="222"/>
    </row>
    <row r="21" spans="1:20" x14ac:dyDescent="0.25">
      <c r="A21" s="1"/>
      <c r="B21" s="1"/>
      <c r="C21" s="1"/>
      <c r="D21" s="1"/>
      <c r="E21" s="1"/>
      <c r="F21" s="1"/>
      <c r="G21" s="1"/>
      <c r="H21" s="1"/>
      <c r="I21" s="1"/>
      <c r="J21" s="1"/>
      <c r="K21" s="1"/>
      <c r="L21" s="1"/>
      <c r="M21" s="1"/>
      <c r="N21" s="221"/>
      <c r="O21" s="222"/>
      <c r="P21" s="222"/>
      <c r="Q21" s="222"/>
      <c r="R21" s="222"/>
      <c r="S21" s="222"/>
      <c r="T21" s="222"/>
    </row>
    <row r="22" spans="1:20" x14ac:dyDescent="0.25">
      <c r="A22" s="1"/>
      <c r="B22" s="1"/>
      <c r="C22" s="1"/>
      <c r="D22" s="1"/>
      <c r="E22" s="1"/>
      <c r="F22" s="1"/>
      <c r="G22" s="1"/>
      <c r="H22" s="1"/>
      <c r="I22" s="1"/>
      <c r="J22" s="1"/>
      <c r="K22" s="1"/>
      <c r="L22" s="1"/>
      <c r="M22" s="1"/>
      <c r="N22" s="221"/>
      <c r="O22" s="222"/>
      <c r="P22" s="222"/>
      <c r="Q22" s="222"/>
      <c r="R22" s="222"/>
      <c r="S22" s="222"/>
      <c r="T22" s="222"/>
    </row>
    <row r="23" spans="1:20" x14ac:dyDescent="0.25">
      <c r="A23" s="1"/>
      <c r="B23" s="1"/>
      <c r="C23" s="1"/>
      <c r="D23" s="1"/>
      <c r="E23" s="1"/>
      <c r="F23" s="1"/>
      <c r="G23" s="1"/>
      <c r="H23" s="1"/>
      <c r="I23" s="1"/>
      <c r="J23" s="1"/>
      <c r="K23" s="1"/>
      <c r="L23" s="1"/>
      <c r="M23" s="1"/>
      <c r="N23" s="221"/>
      <c r="O23" s="222"/>
      <c r="P23" s="222"/>
      <c r="Q23" s="222"/>
      <c r="R23" s="222"/>
      <c r="S23" s="222"/>
      <c r="T23" s="222"/>
    </row>
    <row r="24" spans="1:20" x14ac:dyDescent="0.25">
      <c r="A24" s="1"/>
      <c r="B24" s="1"/>
      <c r="C24" s="1"/>
      <c r="D24" s="1"/>
      <c r="E24" s="1"/>
      <c r="F24" s="1"/>
      <c r="G24" s="1"/>
      <c r="H24" s="1"/>
      <c r="I24" s="1"/>
      <c r="J24" s="1"/>
      <c r="K24" s="1"/>
      <c r="L24" s="1"/>
      <c r="M24" s="1"/>
      <c r="N24" s="221"/>
      <c r="O24" s="222"/>
      <c r="P24" s="222"/>
      <c r="Q24" s="222"/>
      <c r="R24" s="222"/>
      <c r="S24" s="222"/>
      <c r="T24" s="222"/>
    </row>
    <row r="25" spans="1:20" x14ac:dyDescent="0.25">
      <c r="A25" s="1"/>
      <c r="B25" s="1"/>
      <c r="C25" s="1"/>
      <c r="D25" s="1"/>
      <c r="E25" s="1"/>
      <c r="F25" s="1"/>
      <c r="G25" s="1"/>
      <c r="H25" s="1"/>
      <c r="I25" s="1"/>
      <c r="J25" s="1"/>
      <c r="K25" s="1"/>
      <c r="L25" s="1"/>
      <c r="M25" s="1"/>
      <c r="N25" s="221"/>
      <c r="O25" s="222"/>
      <c r="P25" s="222"/>
      <c r="Q25" s="222"/>
      <c r="R25" s="222"/>
      <c r="S25" s="222"/>
      <c r="T25" s="222"/>
    </row>
    <row r="26" spans="1:20" x14ac:dyDescent="0.25">
      <c r="A26" s="1"/>
      <c r="B26" s="1"/>
      <c r="C26" s="1"/>
      <c r="D26" s="1"/>
      <c r="E26" s="1"/>
      <c r="F26" s="1"/>
      <c r="G26" s="1"/>
      <c r="H26" s="1"/>
      <c r="I26" s="1"/>
      <c r="J26" s="1"/>
      <c r="K26" s="1"/>
      <c r="L26" s="1"/>
      <c r="M26" s="1"/>
      <c r="N26" s="221"/>
      <c r="O26" s="222"/>
      <c r="P26" s="222"/>
      <c r="Q26" s="222"/>
      <c r="R26" s="222"/>
      <c r="S26" s="222"/>
      <c r="T26" s="222"/>
    </row>
    <row r="27" spans="1:20" x14ac:dyDescent="0.25">
      <c r="A27" s="1"/>
      <c r="B27" s="1"/>
      <c r="C27" s="1"/>
      <c r="D27" s="1"/>
      <c r="E27" s="1"/>
      <c r="F27" s="1"/>
      <c r="G27" s="1"/>
      <c r="H27" s="1"/>
      <c r="I27" s="1"/>
      <c r="J27" s="1"/>
      <c r="K27" s="1"/>
      <c r="L27" s="1"/>
      <c r="M27" s="1"/>
      <c r="N27" s="221"/>
      <c r="O27" s="222"/>
      <c r="P27" s="222"/>
      <c r="Q27" s="222"/>
      <c r="R27" s="222"/>
      <c r="S27" s="222"/>
      <c r="T27" s="222"/>
    </row>
    <row r="28" spans="1:20" x14ac:dyDescent="0.25">
      <c r="A28" s="1"/>
      <c r="B28" s="1"/>
      <c r="C28" s="1"/>
      <c r="D28" s="1"/>
      <c r="E28" s="1"/>
      <c r="F28" s="1"/>
      <c r="G28" s="1"/>
      <c r="H28" s="1"/>
      <c r="I28" s="1"/>
      <c r="J28" s="1"/>
      <c r="K28" s="1"/>
      <c r="L28" s="1"/>
      <c r="M28" s="1"/>
      <c r="N28" s="221"/>
      <c r="O28" s="222"/>
      <c r="P28" s="222"/>
      <c r="Q28" s="222"/>
      <c r="R28" s="222"/>
      <c r="S28" s="222"/>
      <c r="T28" s="222"/>
    </row>
    <row r="29" spans="1:20" x14ac:dyDescent="0.25">
      <c r="A29" s="1"/>
      <c r="B29" s="1"/>
      <c r="C29" s="1"/>
      <c r="D29" s="1"/>
      <c r="E29" s="1"/>
      <c r="F29" s="1"/>
      <c r="G29" s="1"/>
      <c r="H29" s="1"/>
      <c r="I29" s="1"/>
      <c r="J29" s="1"/>
      <c r="K29" s="1"/>
      <c r="L29" s="1"/>
      <c r="M29" s="1"/>
      <c r="N29" s="221"/>
      <c r="O29" s="222"/>
      <c r="P29" s="222"/>
      <c r="Q29" s="222"/>
      <c r="R29" s="222"/>
      <c r="S29" s="222"/>
      <c r="T29" s="222"/>
    </row>
    <row r="30" spans="1:20" x14ac:dyDescent="0.25">
      <c r="A30" s="1"/>
      <c r="B30" s="1"/>
      <c r="C30" s="1"/>
      <c r="D30" s="1"/>
      <c r="E30" s="1"/>
      <c r="F30" s="1"/>
      <c r="G30" s="1"/>
      <c r="H30" s="1"/>
      <c r="I30" s="1"/>
      <c r="J30" s="1"/>
      <c r="K30" s="1"/>
      <c r="L30" s="1"/>
      <c r="M30" s="1"/>
      <c r="N30" s="221"/>
      <c r="O30" s="222"/>
      <c r="P30" s="222"/>
      <c r="Q30" s="222"/>
      <c r="R30" s="222"/>
      <c r="S30" s="222"/>
      <c r="T30" s="222"/>
    </row>
    <row r="31" spans="1:20" x14ac:dyDescent="0.25">
      <c r="A31" s="1"/>
      <c r="B31" s="1"/>
      <c r="C31" s="1"/>
      <c r="D31" s="1"/>
      <c r="E31" s="1"/>
      <c r="F31" s="1"/>
      <c r="G31" s="1"/>
      <c r="H31" s="1"/>
      <c r="I31" s="1"/>
      <c r="J31" s="1"/>
      <c r="K31" s="1"/>
      <c r="L31" s="1"/>
      <c r="M31" s="1"/>
      <c r="N31" s="221"/>
      <c r="O31" s="222"/>
      <c r="P31" s="222"/>
      <c r="Q31" s="222"/>
      <c r="R31" s="222"/>
      <c r="S31" s="222"/>
      <c r="T31" s="222"/>
    </row>
    <row r="32" spans="1:20" x14ac:dyDescent="0.25">
      <c r="A32" s="1"/>
      <c r="B32" s="1"/>
      <c r="C32" s="1"/>
      <c r="D32" s="1"/>
      <c r="E32" s="1"/>
      <c r="F32" s="1"/>
      <c r="G32" s="1"/>
      <c r="H32" s="1"/>
      <c r="I32" s="1"/>
      <c r="J32" s="1"/>
      <c r="K32" s="1"/>
      <c r="L32" s="1"/>
      <c r="M32" s="1"/>
      <c r="N32" s="221"/>
      <c r="O32" s="222"/>
      <c r="P32" s="222"/>
      <c r="Q32" s="27"/>
      <c r="R32" s="222"/>
      <c r="S32" s="222"/>
      <c r="T32" s="222"/>
    </row>
    <row r="33" spans="1:20" x14ac:dyDescent="0.25">
      <c r="A33" s="1"/>
      <c r="B33" s="1"/>
      <c r="C33" s="1"/>
      <c r="D33" s="1"/>
      <c r="E33" s="1"/>
      <c r="F33" s="1"/>
      <c r="G33" s="1"/>
      <c r="H33" s="1"/>
      <c r="I33" s="1"/>
      <c r="J33" s="1"/>
      <c r="K33" s="1"/>
      <c r="L33" s="1"/>
      <c r="M33" s="1"/>
      <c r="N33" s="221"/>
      <c r="O33" s="222"/>
      <c r="P33" s="222"/>
      <c r="Q33" s="222"/>
      <c r="R33" s="222"/>
      <c r="S33" s="222"/>
      <c r="T33" s="222"/>
    </row>
    <row r="34" spans="1:20" x14ac:dyDescent="0.25">
      <c r="A34" s="1"/>
      <c r="B34" s="1"/>
      <c r="C34" s="1"/>
      <c r="D34" s="1"/>
      <c r="E34" s="1"/>
      <c r="F34" s="1"/>
      <c r="G34" s="1"/>
      <c r="H34" s="1"/>
      <c r="I34" s="1"/>
      <c r="J34" s="1"/>
      <c r="K34" s="1"/>
      <c r="L34" s="1"/>
      <c r="M34" s="1"/>
      <c r="N34" s="221"/>
      <c r="O34" s="222"/>
      <c r="P34" s="222"/>
      <c r="Q34" s="222"/>
      <c r="R34" s="222"/>
      <c r="S34" s="222"/>
      <c r="T34" s="222"/>
    </row>
    <row r="35" spans="1:20" x14ac:dyDescent="0.25">
      <c r="A35" s="1"/>
      <c r="B35" s="1"/>
      <c r="C35" s="1"/>
      <c r="D35" s="1"/>
      <c r="E35" s="1"/>
      <c r="F35" s="1"/>
      <c r="G35" s="1"/>
      <c r="H35" s="1"/>
      <c r="I35" s="1"/>
      <c r="J35" s="1"/>
      <c r="K35" s="1"/>
      <c r="L35" s="1"/>
      <c r="M35" s="1"/>
      <c r="N35" s="221"/>
      <c r="O35" s="222"/>
      <c r="P35" s="222"/>
      <c r="Q35" s="222"/>
      <c r="R35" s="222"/>
      <c r="S35" s="222"/>
      <c r="T35" s="222"/>
    </row>
    <row r="36" spans="1:20" x14ac:dyDescent="0.25">
      <c r="A36" s="1"/>
      <c r="B36" s="1"/>
      <c r="C36" s="1"/>
      <c r="D36" s="1"/>
      <c r="E36" s="1"/>
      <c r="F36" s="1"/>
      <c r="G36" s="1"/>
      <c r="H36" s="1"/>
      <c r="I36" s="1"/>
      <c r="J36" s="1"/>
      <c r="K36" s="1"/>
      <c r="L36" s="1"/>
      <c r="M36" s="1"/>
      <c r="N36" s="221"/>
      <c r="O36" s="222"/>
      <c r="P36" s="222"/>
      <c r="Q36" s="222"/>
      <c r="R36" s="222"/>
      <c r="S36" s="222"/>
      <c r="T36" s="222"/>
    </row>
    <row r="37" spans="1:20" x14ac:dyDescent="0.25">
      <c r="A37" s="1"/>
      <c r="B37" s="1"/>
      <c r="C37" s="1"/>
      <c r="D37" s="1"/>
      <c r="E37" s="1"/>
      <c r="F37" s="1"/>
      <c r="G37" s="1"/>
      <c r="H37" s="1"/>
      <c r="I37" s="1"/>
      <c r="J37" s="1"/>
      <c r="K37" s="1"/>
      <c r="L37" s="1"/>
      <c r="M37" s="1"/>
      <c r="N37" s="221"/>
      <c r="O37" s="222"/>
      <c r="P37" s="222"/>
      <c r="Q37" s="222"/>
      <c r="R37" s="222"/>
      <c r="S37" s="222"/>
      <c r="T37" s="222"/>
    </row>
    <row r="38" spans="1:20" x14ac:dyDescent="0.25">
      <c r="A38" s="1"/>
      <c r="B38" s="1"/>
      <c r="C38" s="1"/>
      <c r="D38" s="1"/>
      <c r="E38" s="1"/>
      <c r="F38" s="1"/>
      <c r="G38" s="1"/>
      <c r="H38" s="1"/>
      <c r="I38" s="1"/>
      <c r="J38" s="1"/>
      <c r="K38" s="1"/>
      <c r="L38" s="1"/>
      <c r="M38" s="1"/>
      <c r="N38" s="221"/>
      <c r="O38" s="222"/>
      <c r="P38" s="222"/>
      <c r="Q38" s="222"/>
      <c r="R38" s="222"/>
      <c r="S38" s="222"/>
      <c r="T38" s="222"/>
    </row>
    <row r="39" spans="1:20" x14ac:dyDescent="0.25">
      <c r="A39" s="1"/>
      <c r="B39" s="1"/>
      <c r="C39" s="1"/>
      <c r="D39" s="1"/>
      <c r="E39" s="1"/>
      <c r="F39" s="1"/>
      <c r="G39" s="1"/>
      <c r="H39" s="1"/>
      <c r="I39" s="1"/>
      <c r="J39" s="1"/>
      <c r="K39" s="1"/>
      <c r="L39" s="1"/>
      <c r="M39" s="1"/>
      <c r="N39" s="221"/>
      <c r="O39" s="222"/>
      <c r="P39" s="222"/>
      <c r="Q39" s="222"/>
      <c r="R39" s="222"/>
      <c r="S39" s="222"/>
      <c r="T39" s="222"/>
    </row>
    <row r="40" spans="1:20" x14ac:dyDescent="0.25">
      <c r="A40" s="1"/>
      <c r="B40" s="1"/>
      <c r="C40" s="1"/>
      <c r="D40" s="1"/>
      <c r="E40" s="1"/>
      <c r="F40" s="1"/>
      <c r="G40" s="1"/>
      <c r="H40" s="1"/>
      <c r="I40" s="1"/>
      <c r="J40" s="1"/>
      <c r="K40" s="1"/>
      <c r="L40" s="1"/>
      <c r="M40" s="1"/>
      <c r="N40" s="221"/>
      <c r="O40" s="222"/>
      <c r="P40" s="222"/>
      <c r="Q40" s="222"/>
      <c r="R40" s="222"/>
      <c r="S40" s="224"/>
      <c r="T40" s="222"/>
    </row>
    <row r="41" spans="1:20" x14ac:dyDescent="0.25">
      <c r="A41" s="1"/>
      <c r="B41" s="1"/>
      <c r="C41" s="1"/>
      <c r="D41" s="1"/>
      <c r="E41" s="1"/>
      <c r="F41" s="1"/>
      <c r="G41" s="1"/>
      <c r="H41" s="1"/>
      <c r="I41" s="1"/>
      <c r="J41" s="1"/>
      <c r="K41" s="1"/>
      <c r="L41" s="1"/>
      <c r="M41" s="1"/>
      <c r="N41" s="221"/>
      <c r="O41" s="222"/>
      <c r="P41" s="222"/>
      <c r="Q41" s="222"/>
      <c r="R41" s="222"/>
      <c r="S41" s="222"/>
      <c r="T41" s="222"/>
    </row>
    <row r="42" spans="1:20" x14ac:dyDescent="0.25">
      <c r="A42" s="1"/>
      <c r="B42" s="1"/>
      <c r="C42" s="1"/>
      <c r="D42" s="1"/>
      <c r="E42" s="1"/>
      <c r="F42" s="1"/>
      <c r="G42" s="1"/>
      <c r="H42" s="1"/>
      <c r="I42" s="1"/>
      <c r="J42" s="1"/>
      <c r="K42" s="1"/>
      <c r="L42" s="1"/>
      <c r="M42" s="1"/>
      <c r="N42" s="221"/>
      <c r="O42" s="222"/>
      <c r="P42" s="222"/>
      <c r="Q42" s="222"/>
      <c r="R42" s="222"/>
      <c r="S42" s="222"/>
      <c r="T42" s="222"/>
    </row>
    <row r="43" spans="1:20" ht="15" x14ac:dyDescent="0.25">
      <c r="A43" s="1"/>
      <c r="B43" s="1"/>
      <c r="C43" s="1"/>
      <c r="D43" s="1"/>
      <c r="E43" s="1"/>
      <c r="F43" s="1"/>
      <c r="G43" s="1"/>
      <c r="H43" s="1"/>
      <c r="I43" s="1"/>
      <c r="J43" s="1"/>
      <c r="K43" s="1"/>
      <c r="L43" s="1"/>
      <c r="M43" s="1"/>
      <c r="N43" s="221"/>
      <c r="O43" s="222"/>
      <c r="P43" s="222"/>
      <c r="Q43" s="222"/>
      <c r="R43" s="222"/>
      <c r="S43" s="225"/>
      <c r="T43" s="222"/>
    </row>
    <row r="44" spans="1:20" x14ac:dyDescent="0.25">
      <c r="A44" s="1"/>
      <c r="B44" s="1"/>
      <c r="C44" s="1"/>
      <c r="D44" s="1"/>
      <c r="E44" s="1"/>
      <c r="F44" s="1"/>
      <c r="G44" s="1"/>
      <c r="H44" s="223"/>
      <c r="I44" s="226" t="s">
        <v>90</v>
      </c>
      <c r="J44" s="1"/>
      <c r="K44" s="1"/>
      <c r="L44" s="1"/>
      <c r="M44" s="1"/>
      <c r="N44" s="221"/>
      <c r="O44" s="222"/>
      <c r="P44" s="222"/>
      <c r="Q44" s="222"/>
      <c r="R44" s="222"/>
      <c r="S44" s="222"/>
      <c r="T44" s="222"/>
    </row>
    <row r="45" spans="1:20" x14ac:dyDescent="0.25">
      <c r="A45" s="1"/>
      <c r="B45" s="1"/>
      <c r="C45" s="1"/>
      <c r="D45" s="1"/>
      <c r="E45" s="1"/>
      <c r="F45" s="1"/>
      <c r="G45" s="1"/>
      <c r="H45" s="227" t="s">
        <v>92</v>
      </c>
      <c r="I45" s="228"/>
      <c r="J45" s="1"/>
      <c r="K45" s="1"/>
      <c r="L45" s="1"/>
      <c r="M45" s="1"/>
      <c r="N45" s="221"/>
      <c r="O45" s="222"/>
      <c r="P45" s="222"/>
      <c r="Q45" s="222"/>
      <c r="R45" s="222"/>
      <c r="S45" s="222"/>
      <c r="T45" s="222"/>
    </row>
    <row r="46" spans="1:20" x14ac:dyDescent="0.25">
      <c r="A46" s="1"/>
      <c r="B46" s="1"/>
      <c r="C46" s="1"/>
      <c r="D46" s="1"/>
      <c r="E46" s="1"/>
      <c r="F46" s="1"/>
      <c r="G46" s="1"/>
      <c r="H46" s="1"/>
      <c r="I46" s="228" t="s">
        <v>91</v>
      </c>
      <c r="J46" s="1"/>
      <c r="K46" s="1"/>
      <c r="L46" s="1"/>
      <c r="M46" s="1"/>
      <c r="N46" s="221"/>
      <c r="O46" s="222"/>
      <c r="P46" s="222"/>
      <c r="Q46" s="222"/>
      <c r="R46" s="222"/>
      <c r="S46" s="222"/>
      <c r="T46" s="222"/>
    </row>
    <row r="47" spans="1:20" x14ac:dyDescent="0.25">
      <c r="A47" s="1"/>
      <c r="B47" s="1"/>
      <c r="C47" s="1"/>
      <c r="D47" s="1"/>
      <c r="E47" s="1"/>
      <c r="F47" s="1"/>
      <c r="G47" s="1"/>
      <c r="H47" s="1"/>
      <c r="I47" s="220"/>
      <c r="J47" s="1"/>
      <c r="K47" s="1"/>
      <c r="L47" s="1"/>
      <c r="M47" s="1"/>
      <c r="N47" s="221"/>
      <c r="O47" s="222"/>
      <c r="P47" s="222"/>
      <c r="Q47" s="222"/>
      <c r="R47" s="222"/>
      <c r="S47" s="222"/>
      <c r="T47" s="222"/>
    </row>
    <row r="48" spans="1:20" x14ac:dyDescent="0.25">
      <c r="A48" s="1"/>
      <c r="B48" s="1"/>
      <c r="C48" s="1"/>
      <c r="D48" s="1"/>
      <c r="E48" s="1"/>
      <c r="F48" s="1"/>
      <c r="G48" s="1"/>
      <c r="H48" s="1"/>
      <c r="I48" s="1"/>
      <c r="J48" s="1"/>
      <c r="K48" s="1"/>
      <c r="L48" s="1"/>
      <c r="M48" s="1"/>
      <c r="N48" s="221"/>
      <c r="O48" s="222"/>
      <c r="P48" s="222"/>
      <c r="Q48" s="222"/>
      <c r="R48" s="222"/>
      <c r="S48" s="222"/>
      <c r="T48" s="222"/>
    </row>
    <row r="49" spans="1:20" x14ac:dyDescent="0.25">
      <c r="A49" s="1"/>
      <c r="B49" s="1"/>
      <c r="C49" s="1"/>
      <c r="D49" s="1"/>
      <c r="E49" s="1"/>
      <c r="F49" s="1"/>
      <c r="G49" s="1"/>
      <c r="H49" s="1"/>
      <c r="I49" s="1"/>
      <c r="J49" s="1"/>
      <c r="K49" s="1"/>
      <c r="L49" s="1"/>
      <c r="M49" s="1"/>
      <c r="N49" s="221"/>
      <c r="O49" s="222"/>
      <c r="P49" s="222"/>
      <c r="Q49" s="222"/>
      <c r="R49" s="222"/>
      <c r="S49" s="222"/>
      <c r="T49" s="222"/>
    </row>
    <row r="50" spans="1:20" x14ac:dyDescent="0.25">
      <c r="A50" s="1"/>
      <c r="B50" s="1"/>
      <c r="C50" s="1"/>
      <c r="D50" s="1"/>
      <c r="E50" s="1"/>
      <c r="F50" s="1"/>
      <c r="G50" s="1"/>
      <c r="H50" s="1"/>
      <c r="I50" s="1"/>
      <c r="J50" s="1"/>
      <c r="K50" s="1"/>
      <c r="L50" s="1"/>
      <c r="M50" s="1"/>
      <c r="N50" s="221"/>
      <c r="O50" s="222"/>
      <c r="P50" s="222"/>
      <c r="Q50" s="222"/>
      <c r="R50" s="222"/>
      <c r="S50" s="222"/>
      <c r="T50" s="222"/>
    </row>
    <row r="51" spans="1:20" x14ac:dyDescent="0.25">
      <c r="A51" s="1"/>
      <c r="B51" s="1"/>
      <c r="C51" s="1"/>
      <c r="D51" s="1"/>
      <c r="E51" s="1"/>
      <c r="F51" s="1"/>
      <c r="G51" s="1"/>
      <c r="H51" s="1"/>
      <c r="I51" s="1"/>
      <c r="J51" s="1"/>
      <c r="K51" s="1"/>
      <c r="L51" s="1"/>
      <c r="M51" s="1"/>
      <c r="N51" s="221"/>
      <c r="O51" s="222"/>
      <c r="P51" s="222"/>
      <c r="Q51" s="222"/>
      <c r="R51" s="222"/>
      <c r="S51" s="222"/>
      <c r="T51" s="222"/>
    </row>
    <row r="52" spans="1:20" x14ac:dyDescent="0.25">
      <c r="A52" s="222"/>
      <c r="B52" s="222"/>
      <c r="C52" s="222"/>
      <c r="D52" s="222"/>
      <c r="E52" s="222"/>
      <c r="F52" s="222"/>
      <c r="G52" s="222"/>
      <c r="H52" s="222"/>
      <c r="I52" s="222"/>
      <c r="J52" s="222"/>
      <c r="K52" s="222"/>
      <c r="L52" s="222"/>
      <c r="M52" s="222"/>
      <c r="N52" s="222"/>
      <c r="O52" s="222"/>
      <c r="P52" s="222"/>
      <c r="Q52" s="222"/>
      <c r="R52" s="222"/>
      <c r="S52" s="222"/>
      <c r="T52" s="222"/>
    </row>
    <row r="53" spans="1:20" x14ac:dyDescent="0.25">
      <c r="A53" s="222"/>
      <c r="B53" s="222"/>
      <c r="C53" s="222"/>
      <c r="D53" s="222"/>
      <c r="E53" s="222"/>
      <c r="F53" s="222"/>
      <c r="G53" s="222"/>
      <c r="H53" s="222"/>
      <c r="I53" s="222"/>
      <c r="J53" s="222"/>
      <c r="K53" s="222"/>
      <c r="L53" s="222"/>
      <c r="M53" s="222"/>
      <c r="N53" s="222"/>
      <c r="O53" s="222"/>
      <c r="P53" s="222"/>
      <c r="Q53" s="222"/>
      <c r="R53" s="222"/>
      <c r="S53" s="222"/>
      <c r="T53" s="222"/>
    </row>
    <row r="54" spans="1:20" x14ac:dyDescent="0.25">
      <c r="A54" s="222"/>
      <c r="B54" s="222"/>
      <c r="C54" s="222"/>
      <c r="D54" s="222"/>
      <c r="E54" s="222"/>
      <c r="F54" s="222"/>
      <c r="G54" s="222"/>
      <c r="H54" s="222"/>
      <c r="I54" s="222"/>
      <c r="J54" s="222"/>
      <c r="K54" s="222"/>
      <c r="L54" s="222"/>
      <c r="M54" s="222"/>
      <c r="N54" s="222"/>
      <c r="O54" s="222"/>
      <c r="P54" s="222"/>
      <c r="Q54" s="222"/>
      <c r="R54" s="222"/>
      <c r="S54" s="222"/>
      <c r="T54" s="222"/>
    </row>
    <row r="55" spans="1:20" x14ac:dyDescent="0.25">
      <c r="A55" s="222"/>
      <c r="B55" s="222"/>
      <c r="C55" s="222"/>
      <c r="D55" s="222"/>
      <c r="E55" s="222"/>
      <c r="F55" s="222"/>
      <c r="G55" s="222"/>
      <c r="H55" s="222"/>
      <c r="I55" s="222"/>
      <c r="J55" s="222"/>
      <c r="K55" s="222"/>
      <c r="L55" s="222"/>
      <c r="M55" s="222"/>
      <c r="N55" s="222"/>
      <c r="O55" s="222"/>
      <c r="P55" s="222"/>
      <c r="Q55" s="222"/>
      <c r="R55" s="222"/>
      <c r="S55" s="222"/>
      <c r="T55" s="222"/>
    </row>
    <row r="56" spans="1:20" x14ac:dyDescent="0.25">
      <c r="A56" s="222"/>
      <c r="B56" s="222"/>
      <c r="C56" s="222"/>
      <c r="D56" s="222"/>
      <c r="E56" s="222"/>
      <c r="F56" s="222"/>
      <c r="G56" s="222"/>
      <c r="H56" s="222"/>
      <c r="I56" s="222"/>
      <c r="J56" s="222"/>
      <c r="K56" s="222"/>
      <c r="L56" s="222"/>
      <c r="M56" s="222"/>
      <c r="N56" s="222"/>
      <c r="O56" s="222"/>
      <c r="P56" s="222"/>
      <c r="Q56" s="222"/>
      <c r="R56" s="222"/>
      <c r="S56" s="222"/>
      <c r="T56" s="222"/>
    </row>
    <row r="57" spans="1:20" x14ac:dyDescent="0.25">
      <c r="A57" s="222"/>
      <c r="B57" s="222"/>
      <c r="C57" s="222"/>
      <c r="D57" s="222"/>
      <c r="E57" s="222"/>
      <c r="F57" s="222"/>
      <c r="G57" s="222"/>
      <c r="H57" s="222"/>
      <c r="I57" s="222"/>
      <c r="J57" s="222"/>
      <c r="K57" s="222"/>
      <c r="L57" s="222"/>
      <c r="M57" s="222"/>
      <c r="N57" s="222"/>
      <c r="O57" s="222"/>
      <c r="P57" s="222"/>
      <c r="Q57" s="222"/>
      <c r="R57" s="222"/>
      <c r="S57" s="222"/>
      <c r="T57" s="222"/>
    </row>
    <row r="58" spans="1:20" x14ac:dyDescent="0.25">
      <c r="A58" s="222"/>
      <c r="B58" s="222"/>
      <c r="C58" s="222"/>
      <c r="D58" s="222"/>
      <c r="E58" s="222"/>
      <c r="F58" s="222"/>
      <c r="G58" s="222"/>
      <c r="H58" s="222"/>
      <c r="I58" s="222"/>
      <c r="J58" s="222"/>
      <c r="K58" s="222"/>
      <c r="L58" s="222"/>
      <c r="M58" s="222"/>
      <c r="N58" s="222"/>
      <c r="O58" s="222"/>
      <c r="P58" s="222"/>
      <c r="Q58" s="222"/>
      <c r="R58" s="222"/>
      <c r="S58" s="222"/>
      <c r="T58" s="222"/>
    </row>
    <row r="59" spans="1:20" x14ac:dyDescent="0.25">
      <c r="A59" s="222"/>
      <c r="B59" s="222"/>
      <c r="C59" s="222"/>
      <c r="D59" s="222"/>
      <c r="E59" s="222"/>
      <c r="F59" s="222"/>
      <c r="G59" s="222"/>
      <c r="H59" s="222"/>
      <c r="I59" s="222"/>
      <c r="J59" s="222"/>
      <c r="K59" s="222"/>
      <c r="L59" s="222"/>
      <c r="M59" s="222"/>
      <c r="N59" s="222"/>
      <c r="O59" s="222"/>
      <c r="P59" s="222"/>
      <c r="Q59" s="222"/>
      <c r="R59" s="222"/>
      <c r="S59" s="222"/>
      <c r="T59" s="222"/>
    </row>
  </sheetData>
  <sheetProtection algorithmName="SHA-512" hashValue="m9CRsv/wvyqUA/mXhGP0t01/muPzS3iw5jPUQXK/wFfUVfsUqN5xvHf/0HFsZeLP0kyMO1pnv6CX40MjFtZqnA==" saltValue="Nt8gQWzqow2O7PaUf1sh5g==" spinCount="100000" sheet="1" objects="1" scenarios="1"/>
  <hyperlinks>
    <hyperlink ref="I44" r:id="rId1" xr:uid="{310D00C2-3916-4EE9-A844-7CA3974F1BF1}"/>
    <hyperlink ref="I46" r:id="rId2" xr:uid="{BF91F87E-997A-4C61-A240-5F0C5B3CD388}"/>
  </hyperlinks>
  <pageMargins left="0.7" right="0.7" top="0.78740157499999996" bottom="0.78740157499999996" header="0.3" footer="0.3"/>
  <pageSetup paperSize="9" scale="90" orientation="portrait"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7"/>
  <sheetViews>
    <sheetView zoomScale="64" workbookViewId="0">
      <selection activeCell="C12" sqref="C12"/>
    </sheetView>
  </sheetViews>
  <sheetFormatPr baseColWidth="10" defaultRowHeight="13.2" x14ac:dyDescent="0.25"/>
  <cols>
    <col min="1" max="1" width="11.5546875" style="2"/>
    <col min="2" max="2" width="18.88671875" style="2" customWidth="1"/>
    <col min="3" max="3" width="13.5546875" style="2" customWidth="1"/>
    <col min="4" max="4" width="15.109375" style="2" customWidth="1"/>
    <col min="5" max="5" width="29.6640625" style="2" customWidth="1"/>
    <col min="6" max="6" width="12.44140625" style="2" customWidth="1"/>
    <col min="7" max="7" width="15" style="2" customWidth="1"/>
    <col min="8" max="8" width="9.21875" style="2" customWidth="1"/>
    <col min="9" max="9" width="10" style="2" customWidth="1"/>
    <col min="10" max="10" width="7.6640625" style="2" customWidth="1"/>
    <col min="11" max="11" width="12.88671875" style="2" customWidth="1"/>
    <col min="12" max="12" width="63" style="2" customWidth="1"/>
    <col min="13" max="13" width="15.88671875" style="2" customWidth="1"/>
    <col min="14" max="14" width="14.6640625" style="2" customWidth="1"/>
    <col min="15" max="15" width="17.109375" style="2" customWidth="1"/>
    <col min="16" max="16" width="15.44140625" style="2" customWidth="1"/>
    <col min="17" max="17" width="11.5546875" style="2"/>
    <col min="18" max="18" width="14.33203125" style="2" customWidth="1"/>
    <col min="19" max="16384" width="11.5546875" style="2"/>
  </cols>
  <sheetData>
    <row r="1" spans="1:19" ht="14.4" thickBot="1" x14ac:dyDescent="0.3">
      <c r="E1" s="3"/>
      <c r="O1" s="3"/>
    </row>
    <row r="2" spans="1:19" ht="14.4" thickTop="1" x14ac:dyDescent="0.25">
      <c r="A2" s="4" t="s">
        <v>74</v>
      </c>
      <c r="B2" s="5"/>
      <c r="C2" s="5"/>
      <c r="D2" s="6"/>
      <c r="E2" s="7" t="s">
        <v>86</v>
      </c>
      <c r="F2" s="8"/>
      <c r="G2" s="9">
        <f>(C13-C12)</f>
        <v>20</v>
      </c>
      <c r="H2" s="10">
        <f>(-C5*C6)*2.71828183^((-C6*(C12+0*G2))-C5*2.71828183^(-C6*(C12+0*G2)))</f>
        <v>8.6665256037723685E-3</v>
      </c>
      <c r="I2" s="10">
        <f>(C12+0*G2)</f>
        <v>60</v>
      </c>
      <c r="K2" s="4" t="s">
        <v>74</v>
      </c>
      <c r="L2" s="5"/>
      <c r="M2" s="5"/>
      <c r="N2" s="6"/>
      <c r="O2" s="7" t="s">
        <v>88</v>
      </c>
      <c r="P2" s="8"/>
      <c r="Q2" s="9">
        <f>(M19-M33)</f>
        <v>20</v>
      </c>
      <c r="R2" s="10">
        <f>(-M5*M6)*2.71828183^((-M6*(M33+0*Q2))-M5*2.71828183^(-M6*(M33+0*Q2)))</f>
        <v>8.6665256037723685E-3</v>
      </c>
      <c r="S2" s="10">
        <f>(M33+0*Q2)</f>
        <v>60</v>
      </c>
    </row>
    <row r="3" spans="1:19" ht="14.4" thickBot="1" x14ac:dyDescent="0.3">
      <c r="A3" s="11" t="s">
        <v>20</v>
      </c>
      <c r="B3" s="12"/>
      <c r="C3" s="12"/>
      <c r="D3" s="13"/>
      <c r="E3" s="14" t="s">
        <v>54</v>
      </c>
      <c r="F3" s="14"/>
      <c r="G3" s="15">
        <v>47.592500000000001</v>
      </c>
      <c r="H3" s="10">
        <f>(-C5*C6)*2.71828183^((-C6*(C12+0.1*G2))-C5*2.71828183^(-C6*(C12+0.1*G2)))</f>
        <v>1.0267652096721725E-2</v>
      </c>
      <c r="I3" s="10">
        <f>(C12+0.1*G2)</f>
        <v>62</v>
      </c>
      <c r="K3" s="11" t="s">
        <v>20</v>
      </c>
      <c r="L3" s="12"/>
      <c r="M3" s="12"/>
      <c r="N3" s="13"/>
      <c r="O3" s="14" t="s">
        <v>55</v>
      </c>
      <c r="P3" s="14"/>
      <c r="Q3" s="15">
        <f>G3</f>
        <v>47.592500000000001</v>
      </c>
      <c r="R3" s="10">
        <f>(-M5*M6)*2.71828183^((-M6*(M33+0.1*Q2))-M5*2.71828183^(-M6*(M33+0.1*Q2)))</f>
        <v>1.0267652096721725E-2</v>
      </c>
      <c r="S3" s="10">
        <f>(M33+0.1*Q2)</f>
        <v>62</v>
      </c>
    </row>
    <row r="4" spans="1:19" ht="13.8" thickTop="1" x14ac:dyDescent="0.25">
      <c r="A4" s="16" t="s">
        <v>82</v>
      </c>
      <c r="B4" s="17"/>
      <c r="C4" s="18" t="s">
        <v>75</v>
      </c>
      <c r="D4" s="19" t="s">
        <v>76</v>
      </c>
      <c r="E4" s="15" t="s">
        <v>84</v>
      </c>
      <c r="F4" s="20" t="s">
        <v>48</v>
      </c>
      <c r="G4" s="15">
        <v>0.44925635000000003</v>
      </c>
      <c r="H4" s="10">
        <f>(-C5*C6)*2.71828183^((-C6*(C12+0.2*G2))-C5*2.71828183^(-C6*(C12+0.2*G2)))</f>
        <v>1.211075609073836E-2</v>
      </c>
      <c r="I4" s="10">
        <f>(C12+0.2*G2)</f>
        <v>64</v>
      </c>
      <c r="K4" s="21" t="s">
        <v>83</v>
      </c>
      <c r="L4" s="17"/>
      <c r="M4" s="18" t="s">
        <v>75</v>
      </c>
      <c r="N4" s="19" t="s">
        <v>76</v>
      </c>
      <c r="O4" s="15" t="s">
        <v>84</v>
      </c>
      <c r="P4" s="20" t="s">
        <v>48</v>
      </c>
      <c r="Q4" s="15">
        <f>G4</f>
        <v>0.44925635000000003</v>
      </c>
      <c r="R4" s="10">
        <f>(-M5*M6)*2.71828183^((-M6*(M33+0.2*Q2))-M5*2.71828183^(-M6*(M33+0.2*Q2)))</f>
        <v>1.211075609073836E-2</v>
      </c>
      <c r="S4" s="10">
        <f>(M33+0.2*Q2)</f>
        <v>64</v>
      </c>
    </row>
    <row r="5" spans="1:19" x14ac:dyDescent="0.25">
      <c r="A5" s="22" t="s">
        <v>0</v>
      </c>
      <c r="B5" s="23"/>
      <c r="C5" s="24">
        <v>3.2992999999999998E-4</v>
      </c>
      <c r="D5" s="25">
        <v>1.5645000000000001E-4</v>
      </c>
      <c r="E5" s="15" t="s">
        <v>85</v>
      </c>
      <c r="F5" s="15" t="s">
        <v>47</v>
      </c>
      <c r="G5" s="15">
        <v>-2.180791E-2</v>
      </c>
      <c r="H5" s="10">
        <f>(-C5*C6)*2.71828183^((-C6*(C12+0.3*G2))-C5*2.71828183^(-C6*(C12+0.3*G2)))</f>
        <v>1.4208258257111459E-2</v>
      </c>
      <c r="I5" s="10">
        <f>(C12+0.3*G2)</f>
        <v>66</v>
      </c>
      <c r="K5" s="22" t="s">
        <v>0</v>
      </c>
      <c r="L5" s="23"/>
      <c r="M5" s="24">
        <f t="shared" ref="M5:N9" si="0">C5</f>
        <v>3.2992999999999998E-4</v>
      </c>
      <c r="N5" s="26">
        <f t="shared" si="0"/>
        <v>1.5645000000000001E-4</v>
      </c>
      <c r="O5" s="15" t="s">
        <v>85</v>
      </c>
      <c r="P5" s="15" t="s">
        <v>47</v>
      </c>
      <c r="Q5" s="15">
        <f>G5</f>
        <v>-2.180791E-2</v>
      </c>
      <c r="R5" s="10">
        <f>(-M5*M6)*2.71828183^((-M6*(M33+0.3*Q2))-M5*2.71828183^(-M6*(M33+0.3*Q2)))</f>
        <v>1.4208258257111459E-2</v>
      </c>
      <c r="S5" s="10">
        <f>(M33+0.3*Q2)</f>
        <v>66</v>
      </c>
    </row>
    <row r="6" spans="1:19" x14ac:dyDescent="0.25">
      <c r="A6" s="22" t="s">
        <v>1</v>
      </c>
      <c r="B6" s="23"/>
      <c r="C6" s="24">
        <v>-9.5322718000000001E-2</v>
      </c>
      <c r="D6" s="26">
        <v>-9.9624172999999996E-2</v>
      </c>
      <c r="E6" s="27"/>
      <c r="F6" s="28"/>
      <c r="G6" s="28"/>
      <c r="H6" s="10">
        <f>(-C5*C6)*2.71828183^((-C6*(C12+0.4*G2))-C5*2.71828183^(-C6*(C12+0.4*G2)))</f>
        <v>1.6561147227007696E-2</v>
      </c>
      <c r="I6" s="10">
        <f>(C12+0.4*G2)</f>
        <v>68</v>
      </c>
      <c r="K6" s="22" t="s">
        <v>1</v>
      </c>
      <c r="L6" s="23"/>
      <c r="M6" s="24">
        <f t="shared" si="0"/>
        <v>-9.5322718000000001E-2</v>
      </c>
      <c r="N6" s="26">
        <f t="shared" si="0"/>
        <v>-9.9624172999999996E-2</v>
      </c>
      <c r="O6" s="27"/>
      <c r="P6" s="28"/>
      <c r="Q6" s="28"/>
      <c r="R6" s="10">
        <f>(-M5*M6)*2.71828183^((-M6*(M33+0.4*Q2))-M5*2.71828183^(-M6*(M33+0.4*Q2)))</f>
        <v>1.6561147227007696E-2</v>
      </c>
      <c r="S6" s="10">
        <f>(M33+0.4*Q2)</f>
        <v>68</v>
      </c>
    </row>
    <row r="7" spans="1:19" x14ac:dyDescent="0.25">
      <c r="A7" s="29" t="s">
        <v>18</v>
      </c>
      <c r="B7" s="30"/>
      <c r="C7" s="31">
        <v>84.1</v>
      </c>
      <c r="D7" s="32">
        <v>87.96</v>
      </c>
      <c r="F7" s="33"/>
      <c r="G7" s="33"/>
      <c r="H7" s="10">
        <f>(-C5*C6)*2.71828183^((-C6*(C12+0.5*G2))-C5*2.71828183^(-C6*(C12+0.5*G2)))</f>
        <v>1.9152598152176743E-2</v>
      </c>
      <c r="I7" s="10">
        <f>(C12+0.5*G2)</f>
        <v>70</v>
      </c>
      <c r="K7" s="29" t="s">
        <v>18</v>
      </c>
      <c r="L7" s="30"/>
      <c r="M7" s="31">
        <f t="shared" si="0"/>
        <v>84.1</v>
      </c>
      <c r="N7" s="32">
        <f t="shared" si="0"/>
        <v>87.96</v>
      </c>
      <c r="R7" s="10">
        <f>(-M5*M6)*2.71828183^((-M6*(M33+0.5*Q2))-M5*2.71828183^(-M6*(M33+0.5*Q2)))</f>
        <v>1.9152598152176743E-2</v>
      </c>
      <c r="S7" s="10">
        <f>(M33+0.5*Q2)</f>
        <v>70</v>
      </c>
    </row>
    <row r="8" spans="1:19" ht="13.8" x14ac:dyDescent="0.3">
      <c r="A8" s="34" t="s">
        <v>73</v>
      </c>
      <c r="B8" s="23"/>
      <c r="C8" s="35">
        <v>0.99747766999999998</v>
      </c>
      <c r="D8" s="36">
        <v>0.99706656000000005</v>
      </c>
      <c r="H8" s="10">
        <f>(-C5*C6)*2.71828183^((-C6*(C12+0.6*G2))-C5*2.71828183^(-C6*(C12+0.6*G2)))</f>
        <v>2.1939968137085937E-2</v>
      </c>
      <c r="I8" s="10">
        <f>(C12+0.6*G2)</f>
        <v>72</v>
      </c>
      <c r="K8" s="29" t="s">
        <v>80</v>
      </c>
      <c r="L8" s="23"/>
      <c r="M8" s="35">
        <f t="shared" si="0"/>
        <v>0.99747766999999998</v>
      </c>
      <c r="N8" s="36">
        <f t="shared" si="0"/>
        <v>0.99706656000000005</v>
      </c>
      <c r="R8" s="10">
        <f>(-M5*M6)*2.71828183^((-M6*(M33+0.6*Q2))-M5*2.71828183^(-M6*(M33+0.6*Q2)))</f>
        <v>2.1939968137085937E-2</v>
      </c>
      <c r="S8" s="10">
        <f>(M33+0.6*Q2)</f>
        <v>72</v>
      </c>
    </row>
    <row r="9" spans="1:19" ht="13.8" thickBot="1" x14ac:dyDescent="0.3">
      <c r="A9" s="37" t="s">
        <v>19</v>
      </c>
      <c r="B9" s="38"/>
      <c r="C9" s="39">
        <v>81.53</v>
      </c>
      <c r="D9" s="40">
        <v>85.24</v>
      </c>
      <c r="E9" s="41"/>
      <c r="F9" s="42"/>
      <c r="G9" s="42"/>
      <c r="H9" s="10">
        <f>(-C5*C6)*2.71828183^((-C6*(C12+0.7*G2))-C5*2.71828183^(-C6*(C12+0.7*G2)))</f>
        <v>2.4845520186313912E-2</v>
      </c>
      <c r="I9" s="10">
        <f>(C12+0.7*G2)</f>
        <v>74</v>
      </c>
      <c r="K9" s="37" t="s">
        <v>19</v>
      </c>
      <c r="L9" s="38"/>
      <c r="M9" s="39">
        <f t="shared" si="0"/>
        <v>81.53</v>
      </c>
      <c r="N9" s="40">
        <f t="shared" si="0"/>
        <v>85.24</v>
      </c>
      <c r="O9" s="41"/>
      <c r="P9" s="42"/>
      <c r="Q9" s="42"/>
      <c r="R9" s="10">
        <f>(-M5*M6)*2.71828183^((-M6*(M33+0.7*Q2))-M5*2.71828183^(-M6*(M33+0.7*Q2)))</f>
        <v>2.4845520186313912E-2</v>
      </c>
      <c r="S9" s="10">
        <f>(M33+0.7*Q2)</f>
        <v>74</v>
      </c>
    </row>
    <row r="10" spans="1:19" ht="14.4" thickTop="1" thickBot="1" x14ac:dyDescent="0.3">
      <c r="A10" s="43"/>
      <c r="B10" s="44"/>
      <c r="C10" s="45"/>
      <c r="D10" s="46"/>
      <c r="E10" s="47" t="s">
        <v>23</v>
      </c>
      <c r="F10" s="48" t="s">
        <v>21</v>
      </c>
      <c r="G10" s="49" t="s">
        <v>22</v>
      </c>
      <c r="H10" s="10">
        <f>(-C5*C6)*2.71828183^((-C6*(C12+0.8*G2))-C5*2.71828183^(-C6*(C12+0.8*G2)))</f>
        <v>2.7746911465992789E-2</v>
      </c>
      <c r="I10" s="10">
        <f>(C12+0.8*G2)</f>
        <v>76</v>
      </c>
      <c r="K10" s="43" t="s">
        <v>17</v>
      </c>
      <c r="L10" s="44"/>
      <c r="M10" s="45"/>
      <c r="N10" s="46"/>
      <c r="O10" s="47" t="s">
        <v>23</v>
      </c>
      <c r="P10" s="48" t="s">
        <v>21</v>
      </c>
      <c r="Q10" s="49" t="s">
        <v>22</v>
      </c>
      <c r="R10" s="10">
        <f>(-M5*M6)*2.71828183^((-M6*(M33+0.8*Q2))-M5*2.71828183^(-M6*(M33+0.8*Q2)))</f>
        <v>2.7746911465992789E-2</v>
      </c>
      <c r="S10" s="10">
        <f>(M33+0.8*Q2)</f>
        <v>76</v>
      </c>
    </row>
    <row r="11" spans="1:19" ht="18.600000000000001" thickTop="1" thickBot="1" x14ac:dyDescent="0.35">
      <c r="A11" s="50" t="s">
        <v>10</v>
      </c>
      <c r="B11" s="51"/>
      <c r="C11" s="203">
        <v>0</v>
      </c>
      <c r="D11" s="52">
        <f>(C11)</f>
        <v>0</v>
      </c>
      <c r="E11" s="53" t="s">
        <v>24</v>
      </c>
      <c r="F11" s="54">
        <f>IF(C11=0,C9,(ROUND(((((2.71828183^(LN(2.71828183*G3)-G4*2.71828183^(-G5*C11)))))),2)))</f>
        <v>81.53</v>
      </c>
      <c r="G11" s="55">
        <f>IF(C11=0,D9,ROUND(((((2.71828183^(LN(2.71828183*G23)-G24*2.71828183^(-G25*D11)))))),2))</f>
        <v>85.24</v>
      </c>
      <c r="H11" s="10">
        <f>(-C5*C6)*2.71828183^((-C6*(C12+0.9*G2))-C5*2.71828183^(-C6*(C12+0.9*G2)))</f>
        <v>3.0469540705588535E-2</v>
      </c>
      <c r="I11" s="10">
        <f>(C12+0.9*G2)</f>
        <v>78</v>
      </c>
      <c r="K11" s="56" t="s">
        <v>65</v>
      </c>
      <c r="L11" s="51"/>
      <c r="M11" s="203">
        <v>0</v>
      </c>
      <c r="N11" s="204">
        <v>0</v>
      </c>
      <c r="O11" s="53" t="s">
        <v>24</v>
      </c>
      <c r="P11" s="54">
        <f>IF(M11=0,M9,ROUND(((((2.71828183^(LN(2.71828183*Q3)-Q4*2.71828183^(-Q5*M11)))))),2))</f>
        <v>81.53</v>
      </c>
      <c r="Q11" s="55">
        <f>IF(N11=0,N9,ROUND(((((2.71828183^(LN(2.71828183*Q23)-Q24*2.71828183^(-Q25*N11)))))),2))</f>
        <v>85.24</v>
      </c>
      <c r="R11" s="10">
        <f>(-M5*M6)*2.71828183^((-M6*(M33+0.9*Q2))-M5*2.71828183^(-M6*(M33+0.9*Q2)))</f>
        <v>3.0469540705588535E-2</v>
      </c>
      <c r="S11" s="10">
        <f>(M33+0.9*Q2)</f>
        <v>78</v>
      </c>
    </row>
    <row r="12" spans="1:19" ht="18" thickTop="1" x14ac:dyDescent="0.3">
      <c r="A12" s="57" t="s">
        <v>9</v>
      </c>
      <c r="B12" s="58"/>
      <c r="C12" s="205">
        <v>60</v>
      </c>
      <c r="D12" s="52">
        <f>(C12)</f>
        <v>60</v>
      </c>
      <c r="E12" s="59" t="s">
        <v>51</v>
      </c>
      <c r="F12" s="60">
        <f>ROUND(((H2*I2)+(H3*I3)+(H4*I4)+(H5*I5)+(H6*I6)+(H7*I7)+(H8*I8)+(H9*I9)+(H10*I10)+(H11*I11)+(H12*I12))/SUM(H2:H12)-C12,2)</f>
        <v>12.51</v>
      </c>
      <c r="G12" s="61">
        <f>ROUND(((H22*I22)+(H23*I23)+(H24*I24)+(H25*I25)+(H26*I26)+(H27*I27)+(H28*I28)+(H29*I29)+(H30*I30)+(H31*I31)+(H32*I32))/SUM(H22:H32)-D12,2)</f>
        <v>13</v>
      </c>
      <c r="H12" s="62">
        <f>(-C5*C6)*2.71828183^((-C6*(C12+1*G2))-C5*2.71828183^(-C6*(C12+1*G2)))</f>
        <v>3.2784263975447515E-2</v>
      </c>
      <c r="I12" s="10">
        <f>(C12+1*G2)</f>
        <v>80</v>
      </c>
      <c r="K12" s="57" t="s">
        <v>66</v>
      </c>
      <c r="L12" s="58"/>
      <c r="M12" s="205">
        <v>80.599999999999994</v>
      </c>
      <c r="N12" s="206">
        <v>83.6</v>
      </c>
      <c r="O12" s="63"/>
      <c r="P12" s="64"/>
      <c r="Q12" s="64"/>
      <c r="R12" s="10">
        <f>(-M5*M6)*2.71828183^((-M6*(M33+1*Q2))-M5*2.71828183^(-M6*(M33+1*Q2)))</f>
        <v>3.2784263975447515E-2</v>
      </c>
      <c r="S12" s="10">
        <f>(M33+1*Q2)</f>
        <v>80</v>
      </c>
    </row>
    <row r="13" spans="1:19" ht="17.399999999999999" x14ac:dyDescent="0.3">
      <c r="A13" s="65" t="s">
        <v>8</v>
      </c>
      <c r="B13" s="66"/>
      <c r="C13" s="207">
        <v>80</v>
      </c>
      <c r="D13" s="52">
        <f>(C13)</f>
        <v>80</v>
      </c>
      <c r="E13" s="67" t="s">
        <v>24</v>
      </c>
      <c r="F13" s="68">
        <f>ROUND(((((2.71828183^(LN(2.71828183*G3)-G4*2.71828183^(-G5*C13)))))),2)</f>
        <v>9.89</v>
      </c>
      <c r="G13" s="69">
        <f>ROUND(((((2.71828183^(LN(2.71828183*G23)-G24*2.71828183^(-G25*D13)))))),2)</f>
        <v>11.31</v>
      </c>
      <c r="H13" s="70"/>
      <c r="I13" s="70"/>
      <c r="K13" s="65" t="s">
        <v>67</v>
      </c>
      <c r="L13" s="66"/>
      <c r="M13" s="207">
        <v>50.86</v>
      </c>
      <c r="N13" s="208">
        <v>63.61</v>
      </c>
      <c r="O13" s="71"/>
      <c r="P13" s="72"/>
      <c r="Q13" s="72"/>
      <c r="R13" s="70"/>
      <c r="S13" s="70"/>
    </row>
    <row r="14" spans="1:19" ht="18" thickBot="1" x14ac:dyDescent="0.35">
      <c r="A14" s="73" t="s">
        <v>7</v>
      </c>
      <c r="B14" s="74"/>
      <c r="C14" s="209">
        <v>90</v>
      </c>
      <c r="D14" s="75">
        <f>(C14)</f>
        <v>90</v>
      </c>
      <c r="E14" s="53" t="s">
        <v>24</v>
      </c>
      <c r="F14" s="76">
        <f>ROUND(((((2.71828183^(LN(2.71828183*G3)-G4*2.71828183^(-G5*C14)))))),2)</f>
        <v>5.28</v>
      </c>
      <c r="G14" s="77">
        <f>ROUND(((((2.71828183^(LN(2.71828183*G23)-G24*2.71828183^(-G25*D14)))))),2)</f>
        <v>5.92</v>
      </c>
      <c r="H14" s="70"/>
      <c r="I14" s="70"/>
      <c r="K14" s="73" t="s">
        <v>68</v>
      </c>
      <c r="L14" s="74"/>
      <c r="M14" s="209">
        <v>34.01</v>
      </c>
      <c r="N14" s="210">
        <v>46.16</v>
      </c>
      <c r="O14" s="71"/>
      <c r="P14" s="78"/>
      <c r="Q14" s="78"/>
      <c r="R14" s="70"/>
      <c r="S14" s="70"/>
    </row>
    <row r="15" spans="1:19" ht="14.4" thickTop="1" thickBot="1" x14ac:dyDescent="0.3">
      <c r="A15" s="79" t="s">
        <v>12</v>
      </c>
      <c r="B15" s="80"/>
      <c r="C15" s="80"/>
      <c r="D15" s="81"/>
      <c r="E15" s="63"/>
      <c r="F15" s="82"/>
      <c r="G15" s="83"/>
      <c r="H15" s="70"/>
      <c r="I15" s="70"/>
      <c r="K15" s="79" t="s">
        <v>12</v>
      </c>
      <c r="L15" s="84"/>
      <c r="M15" s="84"/>
      <c r="N15" s="81"/>
      <c r="O15" s="71"/>
      <c r="P15" s="85"/>
      <c r="Q15" s="86"/>
      <c r="R15" s="70"/>
      <c r="S15" s="70"/>
    </row>
    <row r="16" spans="1:19" ht="13.8" thickTop="1" x14ac:dyDescent="0.25">
      <c r="A16" s="87" t="s">
        <v>5</v>
      </c>
      <c r="B16" s="88"/>
      <c r="C16" s="89"/>
      <c r="D16" s="90"/>
      <c r="E16" s="67"/>
      <c r="F16" s="67"/>
      <c r="G16" s="67"/>
      <c r="H16" s="70"/>
      <c r="I16" s="70"/>
      <c r="K16" s="87" t="s">
        <v>5</v>
      </c>
      <c r="L16" s="88"/>
      <c r="M16" s="89"/>
      <c r="N16" s="90"/>
      <c r="O16" s="67"/>
      <c r="P16" s="67"/>
      <c r="Q16" s="67"/>
      <c r="R16" s="70"/>
      <c r="S16" s="70"/>
    </row>
    <row r="17" spans="1:19" ht="13.8" thickBot="1" x14ac:dyDescent="0.3">
      <c r="A17" s="91" t="s">
        <v>6</v>
      </c>
      <c r="B17" s="92"/>
      <c r="C17" s="93"/>
      <c r="D17" s="94"/>
      <c r="H17" s="70"/>
      <c r="I17" s="70"/>
      <c r="K17" s="91"/>
      <c r="L17" s="95"/>
      <c r="M17" s="93"/>
      <c r="N17" s="94"/>
      <c r="O17" s="67"/>
      <c r="P17" s="67"/>
      <c r="Q17" s="67"/>
      <c r="R17" s="70"/>
      <c r="S17" s="70"/>
    </row>
    <row r="18" spans="1:19" ht="14.4" thickTop="1" thickBot="1" x14ac:dyDescent="0.3">
      <c r="A18" s="91" t="s">
        <v>2</v>
      </c>
      <c r="B18" s="92"/>
      <c r="C18" s="96">
        <f>((2.71828183^(-C5*(2.71828183^(-C6*C13)-2.71828183^(-C6*C11))))*100)</f>
        <v>50.855750113059237</v>
      </c>
      <c r="D18" s="97">
        <f>((2.71828183^(-D5*(2.71828183^(-D6*C13)-2.71828183^(-D6*C11))))*100)</f>
        <v>63.609895079510679</v>
      </c>
      <c r="H18" s="70"/>
      <c r="I18" s="70"/>
      <c r="K18" s="91"/>
      <c r="L18" s="95"/>
      <c r="M18" s="96">
        <f>((2.71828183^(-M5*(2.71828183^(-M6*M13)-2.71828183^(-M6*M11))))*100)</f>
        <v>95.912293450470926</v>
      </c>
      <c r="N18" s="97">
        <f>((2.71828183^(-N5*(2.71828183^(-N6*M13)-2.71828183^(-N6*M11))))*100)</f>
        <v>97.563285851849145</v>
      </c>
      <c r="O18" s="98" t="s">
        <v>23</v>
      </c>
      <c r="P18" s="99" t="s">
        <v>21</v>
      </c>
      <c r="Q18" s="100" t="s">
        <v>22</v>
      </c>
      <c r="R18" s="70"/>
      <c r="S18" s="70"/>
    </row>
    <row r="19" spans="1:19" ht="18.600000000000001" thickTop="1" thickBot="1" x14ac:dyDescent="0.35">
      <c r="A19" s="91" t="s">
        <v>57</v>
      </c>
      <c r="B19" s="92"/>
      <c r="C19" s="101">
        <f>ROUND(C18,2)</f>
        <v>50.86</v>
      </c>
      <c r="D19" s="69">
        <f>ROUND(D18,2)</f>
        <v>63.61</v>
      </c>
      <c r="H19" s="70"/>
      <c r="I19" s="70"/>
      <c r="K19" s="91" t="s">
        <v>69</v>
      </c>
      <c r="L19" s="95"/>
      <c r="M19" s="101">
        <f>ROUND(((LN(((LN(M13*0.01))/-M5)+2.71828183^(-M6*M11)))/-M6),2)</f>
        <v>80</v>
      </c>
      <c r="N19" s="69">
        <f>ROUND(((LN(((LN(N13*0.01))/-N5)+2.71828183^(-N6*N11)))/-N6),2)</f>
        <v>80</v>
      </c>
      <c r="O19" s="102" t="s">
        <v>24</v>
      </c>
      <c r="P19" s="68">
        <f>IF(M19=0,M9,ROUND(((((2.71828183^(LN(2.71828183*Q3)-Q4*2.71828183^(-Q5*M19)))))),2))</f>
        <v>9.89</v>
      </c>
      <c r="Q19" s="103">
        <f>IF(N19=0,N9,ROUND(((((2.71828183^(LN(2.71828183*Q23)-Q24*2.71828183^(-Q25*N19)))))),2))</f>
        <v>11.31</v>
      </c>
      <c r="R19" s="70"/>
      <c r="S19" s="70"/>
    </row>
    <row r="20" spans="1:19" ht="13.8" thickTop="1" x14ac:dyDescent="0.25">
      <c r="A20" s="22"/>
      <c r="B20" s="23"/>
      <c r="C20" s="35"/>
      <c r="D20" s="36"/>
      <c r="H20" s="70"/>
      <c r="I20" s="70"/>
      <c r="K20" s="22"/>
      <c r="L20" s="8"/>
      <c r="M20" s="35"/>
      <c r="N20" s="36"/>
      <c r="O20" s="67"/>
      <c r="P20" s="104"/>
      <c r="Q20" s="104"/>
      <c r="R20" s="70"/>
      <c r="S20" s="70"/>
    </row>
    <row r="21" spans="1:19" x14ac:dyDescent="0.25">
      <c r="A21" s="105" t="s">
        <v>3</v>
      </c>
      <c r="B21" s="106"/>
      <c r="C21" s="107"/>
      <c r="D21" s="36"/>
      <c r="H21" s="70"/>
      <c r="I21" s="70"/>
      <c r="K21" s="105"/>
      <c r="L21" s="108"/>
      <c r="M21" s="107"/>
      <c r="N21" s="36"/>
      <c r="O21" s="67"/>
      <c r="P21" s="67"/>
      <c r="Q21" s="27"/>
      <c r="R21" s="70"/>
      <c r="S21" s="70"/>
    </row>
    <row r="22" spans="1:19" x14ac:dyDescent="0.25">
      <c r="A22" s="105" t="s">
        <v>4</v>
      </c>
      <c r="B22" s="106"/>
      <c r="C22" s="109">
        <f>((2.71828183^(-C5*(2.71828183^(-C6*(C11+1))-2.71828183^(-C6*(C11-0)))))*100)</f>
        <v>99.996700299394675</v>
      </c>
      <c r="D22" s="97">
        <f>((2.71828183^(-D5*(2.71828183^(-D6*(C11+1))-2.71828183^(-D6*(C11-0)))))*100)</f>
        <v>99.998361111392569</v>
      </c>
      <c r="E22" s="7" t="s">
        <v>87</v>
      </c>
      <c r="F22" s="8"/>
      <c r="G22" s="9">
        <f>(D13-D12)</f>
        <v>20</v>
      </c>
      <c r="H22" s="10">
        <f>(-D5*D6)*2.71828183^((-D6*(D12+0*G22))-D5*2.71828183^(-D6*(D12+0*G22)))</f>
        <v>5.7798169993306158E-3</v>
      </c>
      <c r="I22" s="10">
        <f>(D12+0*G22)</f>
        <v>60</v>
      </c>
      <c r="K22" s="105"/>
      <c r="L22" s="108"/>
      <c r="M22" s="109">
        <f>((2.71828183^(-M5*(2.71828183^(-M6*(M11+1))-2.71828183^(-M6*(M11-0)))))*100)</f>
        <v>99.996700299394675</v>
      </c>
      <c r="N22" s="97">
        <f>((2.71828183^(-N5*(2.71828183^(-N6*(M11+1))-2.71828183^(-N6*(M11-0)))))*100)</f>
        <v>99.998361111392569</v>
      </c>
      <c r="O22" s="7" t="s">
        <v>87</v>
      </c>
      <c r="P22" s="8"/>
      <c r="Q22" s="9">
        <f>(N19-N33)</f>
        <v>20</v>
      </c>
      <c r="R22" s="10">
        <f>(-N5*N6)*2.71828183^((-N6*(N33+0*Q22))-N5*2.71828183^(-N6*(N33+0*Q22)))</f>
        <v>5.7798169993306158E-3</v>
      </c>
      <c r="S22" s="10">
        <f>(N33+0*Q22)</f>
        <v>60</v>
      </c>
    </row>
    <row r="23" spans="1:19" ht="17.399999999999999" x14ac:dyDescent="0.3">
      <c r="A23" s="105" t="s">
        <v>58</v>
      </c>
      <c r="B23" s="106"/>
      <c r="C23" s="110">
        <f>ROUND(C22,3)</f>
        <v>99.997</v>
      </c>
      <c r="D23" s="111">
        <f>ROUND(D22,3)</f>
        <v>99.998000000000005</v>
      </c>
      <c r="E23" s="14" t="s">
        <v>54</v>
      </c>
      <c r="F23" s="14"/>
      <c r="G23" s="15">
        <v>43.648800000000001</v>
      </c>
      <c r="H23" s="10">
        <f>(-D5*D6)*2.71828183^((-D6*(D12+0.1*G22))-D5*2.71828183^(-D6*(D12+0.1*G22)))</f>
        <v>6.958851401310937E-3</v>
      </c>
      <c r="I23" s="10">
        <f>(D12+0.1*G22)</f>
        <v>62</v>
      </c>
      <c r="K23" s="105" t="s">
        <v>70</v>
      </c>
      <c r="L23" s="108"/>
      <c r="M23" s="110">
        <f>ROUND(M22,3)</f>
        <v>99.997</v>
      </c>
      <c r="N23" s="111">
        <f>ROUND(N22,3)</f>
        <v>99.998000000000005</v>
      </c>
      <c r="O23" s="14" t="s">
        <v>46</v>
      </c>
      <c r="P23" s="14"/>
      <c r="Q23" s="15">
        <f>G23</f>
        <v>43.648800000000001</v>
      </c>
      <c r="R23" s="10">
        <f>(-N5*N6)*2.71828183^((-N6*(N33+0.1*Q22))-N5*2.71828183^(-N6*(N33+0.1*Q22)))</f>
        <v>6.958851401310937E-3</v>
      </c>
      <c r="S23" s="10">
        <f>(N33+0.1*Q22)</f>
        <v>62</v>
      </c>
    </row>
    <row r="24" spans="1:19" x14ac:dyDescent="0.25">
      <c r="A24" s="112" t="s">
        <v>59</v>
      </c>
      <c r="B24" s="113"/>
      <c r="C24" s="35"/>
      <c r="D24" s="36"/>
      <c r="E24" s="15" t="s">
        <v>84</v>
      </c>
      <c r="F24" s="20" t="s">
        <v>48</v>
      </c>
      <c r="G24" s="15">
        <v>0.33487671000000002</v>
      </c>
      <c r="H24" s="10">
        <f>(-D5*D6)*2.71828183^((-D6*(D12+0.2*G22))-D5*2.71828183^(-D6*(D12+0.2*G22)))</f>
        <v>8.3533022370319288E-3</v>
      </c>
      <c r="I24" s="10">
        <f>(D12+0.2*G22)</f>
        <v>64</v>
      </c>
      <c r="K24" s="112" t="s">
        <v>59</v>
      </c>
      <c r="L24" s="114"/>
      <c r="M24" s="35"/>
      <c r="N24" s="36"/>
      <c r="O24" s="15" t="s">
        <v>84</v>
      </c>
      <c r="P24" s="20" t="s">
        <v>48</v>
      </c>
      <c r="Q24" s="15">
        <f>G24</f>
        <v>0.33487671000000002</v>
      </c>
      <c r="R24" s="10">
        <f>(-N5*N6)*2.71828183^((-N6*(N33+0.2*Q22))-N5*2.71828183^(-N6*(N33+0.2*Q22)))</f>
        <v>8.3533022370319288E-3</v>
      </c>
      <c r="S24" s="10">
        <f>(N33+0.2*Q22)</f>
        <v>64</v>
      </c>
    </row>
    <row r="25" spans="1:19" x14ac:dyDescent="0.25">
      <c r="A25" s="22"/>
      <c r="B25" s="23"/>
      <c r="C25" s="109">
        <f>(2.71828183^(-C5*((2.71828183^(-C6*C14))-(2.71828183^(-C6*C13)))))</f>
        <v>0.34014005372264322</v>
      </c>
      <c r="D25" s="97">
        <f>(2.71828183^(-D5*((2.71828183^(-D6*C14))-(2.71828183^(-D6*C13)))))</f>
        <v>0.46162296049664864</v>
      </c>
      <c r="E25" s="15" t="s">
        <v>85</v>
      </c>
      <c r="F25" s="15" t="s">
        <v>47</v>
      </c>
      <c r="G25" s="15">
        <v>-2.4356389999999999E-2</v>
      </c>
      <c r="H25" s="10">
        <f>(-D5*D6)*2.71828183^((-D6*(D12+0.3*G22))-D5*2.71828183^(-D6*(D12+0.3*G22)))</f>
        <v>9.9905346024546718E-3</v>
      </c>
      <c r="I25" s="10">
        <f>(D12+0.3*G22)</f>
        <v>66</v>
      </c>
      <c r="K25" s="22"/>
      <c r="L25" s="8"/>
      <c r="M25" s="109">
        <f>(2.71828183^(-M5*((2.71828183^(-M6*M14))-(2.71828183^(-M6*M13)))))</f>
        <v>1.0341970963024594</v>
      </c>
      <c r="N25" s="97">
        <f>(2.71828183^(-N5*((2.71828183^(-N6*M14))-(2.71828183^(-N6*M13)))))</f>
        <v>1.0203976531930199</v>
      </c>
      <c r="O25" s="15" t="s">
        <v>85</v>
      </c>
      <c r="P25" s="15" t="s">
        <v>47</v>
      </c>
      <c r="Q25" s="15">
        <f>G25</f>
        <v>-2.4356389999999999E-2</v>
      </c>
      <c r="R25" s="10">
        <f>(-N5*N6)*2.71828183^((-N6*(N33+0.3*Q22))-N5*2.71828183^(-N6*(N33+0.3*Q22)))</f>
        <v>9.9905346024546718E-3</v>
      </c>
      <c r="S25" s="10">
        <f>(N33+0.3*Q22)</f>
        <v>66</v>
      </c>
    </row>
    <row r="26" spans="1:19" x14ac:dyDescent="0.25">
      <c r="A26" s="115" t="s">
        <v>6</v>
      </c>
      <c r="B26" s="23"/>
      <c r="C26" s="109">
        <f>(2.71828183^(-C5*(2.71828183^(-C6*C12)-1)))</f>
        <v>0.904653483654</v>
      </c>
      <c r="D26" s="97">
        <f>(2.71828183^(-D5*(2.71828183^(-D6*C12)-1)))</f>
        <v>0.9403034277579625</v>
      </c>
      <c r="E26" s="27"/>
      <c r="F26" s="28"/>
      <c r="G26" s="28"/>
      <c r="H26" s="10">
        <f>(-D5*D6)*2.71828183^((-D6*(D12+0.4*G22))-D5*2.71828183^(-D6*(D12+0.4*G22)))</f>
        <v>1.1895386812596234E-2</v>
      </c>
      <c r="I26" s="10">
        <f>(D12+0.4*G22)</f>
        <v>68</v>
      </c>
      <c r="K26" s="115"/>
      <c r="L26" s="8"/>
      <c r="M26" s="109">
        <f>(2.71828183^(-M5*(2.71828183^(-M6*M12)-1)))</f>
        <v>0.48870475682886338</v>
      </c>
      <c r="N26" s="97">
        <f>(2.71828183^(-N5*(2.71828183^(-N6*M12)-1)))</f>
        <v>0.61861176800769879</v>
      </c>
      <c r="O26" s="27"/>
      <c r="P26" s="28"/>
      <c r="Q26" s="28"/>
      <c r="R26" s="10">
        <f>(-N5*N6)*2.71828183^((-N6*(N33+0.4*Q22))-N5*2.71828183^(-N6*(N33+0.4*Q22)))</f>
        <v>1.1895386812596234E-2</v>
      </c>
      <c r="S26" s="10">
        <f>(N33+0.4*Q22)</f>
        <v>68</v>
      </c>
    </row>
    <row r="27" spans="1:19" ht="13.8" thickBot="1" x14ac:dyDescent="0.3">
      <c r="A27" s="115" t="s">
        <v>60</v>
      </c>
      <c r="B27" s="116"/>
      <c r="C27" s="109">
        <f>(2.71828183^(-C5*(2.71828183^(-C6*C13)-1)))</f>
        <v>0.50855750113059239</v>
      </c>
      <c r="D27" s="97">
        <f>(2.71828183^(-D5*(2.71828183^(-D6*C13)-1)))</f>
        <v>0.63609895079510681</v>
      </c>
      <c r="E27" s="27"/>
      <c r="F27" s="28"/>
      <c r="G27" s="28"/>
      <c r="H27" s="10">
        <f>(-D5*D6)*2.71828183^((-D6*(D12+0.5*G22))-D5*2.71828183^(-D6*(D12+0.5*G22)))</f>
        <v>1.4086393734491748E-2</v>
      </c>
      <c r="I27" s="10">
        <f>(D12+0.5*G22)</f>
        <v>70</v>
      </c>
      <c r="K27" s="115"/>
      <c r="L27" s="117"/>
      <c r="M27" s="109">
        <f>(2.71828183^(-M5*(2.71828183^(-M6*M13)-1)))</f>
        <v>0.95912293450470931</v>
      </c>
      <c r="N27" s="97">
        <f>(2.71828183^(-N5*(2.71828183^(-N6*M13)-1)))</f>
        <v>0.97563285851849146</v>
      </c>
      <c r="O27" s="67"/>
      <c r="P27" s="67"/>
      <c r="Q27" s="27"/>
      <c r="R27" s="10">
        <f>(-N5*N6)*2.71828183^((-N6*(N33+0.5*Q22))-N5*2.71828183^(-N6*(N33+0.5*Q22)))</f>
        <v>1.4086393734491748E-2</v>
      </c>
      <c r="S27" s="10">
        <f>(N33+0.5*Q22)</f>
        <v>70</v>
      </c>
    </row>
    <row r="28" spans="1:19" ht="14.4" thickTop="1" thickBot="1" x14ac:dyDescent="0.3">
      <c r="A28" s="115" t="s">
        <v>61</v>
      </c>
      <c r="B28" s="116"/>
      <c r="C28" s="109">
        <f>(2.71828183^(-C5*(2.71828183^(-C6*C11)-1)))</f>
        <v>1</v>
      </c>
      <c r="D28" s="97">
        <f>(2.71828183^(-D5*(2.71828183^(-D6*C11)-1)))</f>
        <v>1</v>
      </c>
      <c r="E28" s="67"/>
      <c r="F28" s="67"/>
      <c r="G28" s="27"/>
      <c r="H28" s="10">
        <f>(-D5*D6)*2.71828183^((-D6*(D12+0.6*G22))-D5*2.71828183^(-D6*(D12+0.6*G22)))</f>
        <v>1.6570295520245231E-2</v>
      </c>
      <c r="I28" s="10">
        <f>(D12+0.6*G22)</f>
        <v>72</v>
      </c>
      <c r="K28" s="115"/>
      <c r="L28" s="117"/>
      <c r="M28" s="109">
        <f>(2.71828183^(-M5*(2.71828183^(-M6*M11)-1)))</f>
        <v>1</v>
      </c>
      <c r="N28" s="97">
        <f>(2.71828183^(-N5*(2.71828183^(-N6*M11)-1)))</f>
        <v>1</v>
      </c>
      <c r="O28" s="98" t="s">
        <v>23</v>
      </c>
      <c r="P28" s="99" t="s">
        <v>21</v>
      </c>
      <c r="Q28" s="100" t="s">
        <v>22</v>
      </c>
      <c r="R28" s="10">
        <f>(-N5*N6)*2.71828183^((-N6*(N33+0.6*Q22))-N5*2.71828183^(-N6*(N33+0.6*Q22)))</f>
        <v>1.6570295520245231E-2</v>
      </c>
      <c r="S28" s="10">
        <f>(N33+0.6*Q22)</f>
        <v>72</v>
      </c>
    </row>
    <row r="29" spans="1:19" ht="18.600000000000001" thickTop="1" thickBot="1" x14ac:dyDescent="0.35">
      <c r="A29" s="115" t="s">
        <v>62</v>
      </c>
      <c r="B29" s="116"/>
      <c r="C29" s="118">
        <f>ROUND((C25*100),2)</f>
        <v>34.01</v>
      </c>
      <c r="D29" s="119">
        <f>ROUND((D25*100),2)</f>
        <v>46.16</v>
      </c>
      <c r="E29" s="67"/>
      <c r="F29" s="67"/>
      <c r="G29" s="27"/>
      <c r="H29" s="10">
        <f>(-D5*D6)*2.71828183^((-D6*(D12+0.7*G22))-D5*2.71828183^(-D6*(D12+0.7*G22)))</f>
        <v>1.9334479141491792E-2</v>
      </c>
      <c r="I29" s="10">
        <f>(D12+0.7*G22)</f>
        <v>74</v>
      </c>
      <c r="K29" s="115" t="s">
        <v>71</v>
      </c>
      <c r="L29" s="117"/>
      <c r="M29" s="118">
        <f>ROUND(((LN((LN(0.01*M14)/-M5)+2.71828183^(-M6*M19))/-M6)),2)</f>
        <v>90</v>
      </c>
      <c r="N29" s="119">
        <f>ROUND(((LN((LN(0.01*N14)/-N5)+2.71828183^(-N6*N19))/-N6)),2)</f>
        <v>90</v>
      </c>
      <c r="O29" s="102" t="s">
        <v>24</v>
      </c>
      <c r="P29" s="76">
        <f>IF(M29=0,M9,ROUND(((((2.71828183^(LN(2.71828183*Q3)-Q4*2.71828183^(-Q5*M29)))))),2))</f>
        <v>5.28</v>
      </c>
      <c r="Q29" s="120">
        <f>IF(N29=0,N9,ROUND(((((2.71828183^(LN(2.71828183*Q23)-Q24*2.71828183^(-Q25*N29)))))),2))</f>
        <v>5.92</v>
      </c>
      <c r="R29" s="10">
        <f>(-N5*N6)*2.71828183^((-N6*(N33+0.7*Q22))-N5*2.71828183^(-N6*(N33+0.7*Q22)))</f>
        <v>1.9334479141491792E-2</v>
      </c>
      <c r="S29" s="10">
        <f>(N33+0.7*Q22)</f>
        <v>74</v>
      </c>
    </row>
    <row r="30" spans="1:19" ht="13.8" thickTop="1" x14ac:dyDescent="0.25">
      <c r="A30" s="22"/>
      <c r="B30" s="23"/>
      <c r="C30" s="109">
        <f>((C26-C27)/(C28-C27))</f>
        <v>0.80598642452504565</v>
      </c>
      <c r="D30" s="97">
        <f>((D26-D27)/(D28-D27))</f>
        <v>0.83595383312999039</v>
      </c>
      <c r="E30" s="67"/>
      <c r="F30" s="67"/>
      <c r="G30" s="27"/>
      <c r="H30" s="10">
        <f>(-D5*D6)*2.71828183^((-D6*(D12+0.8*G22))-D5*2.71828183^(-D6*(D12+0.8*G22)))</f>
        <v>2.2337191926211596E-2</v>
      </c>
      <c r="I30" s="10">
        <f>(D12+0.8*G22)</f>
        <v>76</v>
      </c>
      <c r="K30" s="22"/>
      <c r="L30" s="8"/>
      <c r="M30" s="109">
        <f>((M26-M27)/(M28-M27))</f>
        <v>-11.508120066251852</v>
      </c>
      <c r="N30" s="97">
        <f>((N26-N27)/(N28-N27))</f>
        <v>-14.651742830882517</v>
      </c>
      <c r="O30" s="67"/>
      <c r="P30" s="104"/>
      <c r="Q30" s="104"/>
      <c r="R30" s="10">
        <f>(-N5*N6)*2.71828183^((-N6*(N33+0.8*Q22))-N5*2.71828183^(-N6*(N33+0.8*Q22)))</f>
        <v>2.2337191926211596E-2</v>
      </c>
      <c r="S30" s="10">
        <f>(N33+0.8*Q22)</f>
        <v>76</v>
      </c>
    </row>
    <row r="31" spans="1:19" ht="13.8" thickBot="1" x14ac:dyDescent="0.3">
      <c r="A31" s="121" t="s">
        <v>6</v>
      </c>
      <c r="B31" s="122"/>
      <c r="C31" s="109"/>
      <c r="D31" s="97"/>
      <c r="E31" s="67"/>
      <c r="F31" s="67"/>
      <c r="G31" s="27"/>
      <c r="H31" s="10">
        <f>(-D5*D6)*2.71828183^((-D6*(D12+0.9*G22))-D5*2.71828183^(-D6*(D12+0.9*G22)))</f>
        <v>2.5495827633004585E-2</v>
      </c>
      <c r="I31" s="10">
        <f>(D12+0.9*G22)</f>
        <v>78</v>
      </c>
      <c r="K31" s="121"/>
      <c r="L31" s="123"/>
      <c r="M31" s="109"/>
      <c r="N31" s="97"/>
      <c r="O31" s="67"/>
      <c r="P31" s="67"/>
      <c r="Q31" s="27"/>
      <c r="R31" s="10">
        <f>(-N5*N6)*2.71828183^((-N6*(N33+0.9*Q22))-N5*2.71828183^(-N6*(N33+0.9*Q22)))</f>
        <v>2.5495827633004585E-2</v>
      </c>
      <c r="S31" s="10">
        <f>(N33+0.9*Q22)</f>
        <v>78</v>
      </c>
    </row>
    <row r="32" spans="1:19" ht="14.4" thickTop="1" thickBot="1" x14ac:dyDescent="0.3">
      <c r="A32" s="121" t="s">
        <v>60</v>
      </c>
      <c r="B32" s="122"/>
      <c r="C32" s="35"/>
      <c r="D32" s="36"/>
      <c r="E32" s="67"/>
      <c r="F32" s="67"/>
      <c r="G32" s="27"/>
      <c r="H32" s="10">
        <f>(-D5*D6)*2.71828183^((-D6*(D12+1*G22))-D5*2.71828183^(-D6*(D12+1*G22)))</f>
        <v>2.8674464782312E-2</v>
      </c>
      <c r="I32" s="10">
        <f>(D12+1*G22)</f>
        <v>80</v>
      </c>
      <c r="K32" s="121"/>
      <c r="L32" s="123"/>
      <c r="M32" s="35"/>
      <c r="N32" s="36"/>
      <c r="O32" s="98" t="s">
        <v>23</v>
      </c>
      <c r="P32" s="99" t="s">
        <v>21</v>
      </c>
      <c r="Q32" s="100" t="s">
        <v>22</v>
      </c>
      <c r="R32" s="10">
        <f>(-N5*N6)*2.71828183^((-N6*(N33+1*Q22))-N5*2.71828183^(-N6*(N33+1*Q22)))</f>
        <v>2.8674464782312E-2</v>
      </c>
      <c r="S32" s="10">
        <f>(N33+1*Q22)</f>
        <v>80</v>
      </c>
    </row>
    <row r="33" spans="1:19" ht="18.600000000000001" thickTop="1" thickBot="1" x14ac:dyDescent="0.35">
      <c r="A33" s="121" t="s">
        <v>63</v>
      </c>
      <c r="B33" s="124"/>
      <c r="C33" s="125">
        <f>ROUND((100*C30),2)</f>
        <v>80.599999999999994</v>
      </c>
      <c r="D33" s="61">
        <f>ROUND((100*D30),2)</f>
        <v>83.6</v>
      </c>
      <c r="E33" s="67"/>
      <c r="F33" s="67"/>
      <c r="G33" s="27"/>
      <c r="K33" s="121" t="s">
        <v>72</v>
      </c>
      <c r="L33" s="124"/>
      <c r="M33" s="126">
        <f>ROUND(((LN((LN((M48-M47)*0.01*M12+M47))/-M5+1))/-M6),2)</f>
        <v>60</v>
      </c>
      <c r="N33" s="61">
        <f>ROUND(((LN((LN((N48-N47)*0.01*N12+N47))/-N5+1))/-N6),2)</f>
        <v>60</v>
      </c>
      <c r="O33" s="127" t="s">
        <v>51</v>
      </c>
      <c r="P33" s="60">
        <f>IF(M33=0,M9,ROUND(((R2*S2)+(R3*S3)+(R4*S4)+(R5*S5)+(R6*S6)+(R7*S7)+(R8*S8)+(R9*S9)+(R10*S10)+(R11*S11)+(R12*S12))/SUM(R2:R12)-M33,2))</f>
        <v>12.51</v>
      </c>
      <c r="Q33" s="60">
        <f>IF(N33=0,N9,ROUND(((R22*S22)+(R23*S23)+(R24*S24)+(R25*S25)+(R26*S26)+(R27*S27)+(R28*S28)+(R29*S29)+(R30*S30)+(R31*S31)+(R32*S32))/SUM(R22:R32)-N33,2))</f>
        <v>13</v>
      </c>
      <c r="R33" s="128"/>
      <c r="S33" s="70"/>
    </row>
    <row r="34" spans="1:19" ht="14.4" thickTop="1" thickBot="1" x14ac:dyDescent="0.3">
      <c r="A34" s="129" t="s">
        <v>64</v>
      </c>
      <c r="B34" s="38"/>
      <c r="C34" s="130"/>
      <c r="D34" s="131"/>
      <c r="E34" s="67"/>
      <c r="F34" s="67"/>
      <c r="G34" s="27"/>
      <c r="K34" s="129"/>
      <c r="L34" s="38"/>
      <c r="M34" s="130"/>
      <c r="N34" s="131"/>
      <c r="O34" s="67"/>
      <c r="P34" s="104"/>
      <c r="Q34" s="104"/>
      <c r="R34" s="70"/>
      <c r="S34" s="70"/>
    </row>
    <row r="35" spans="1:19" ht="13.8" thickTop="1" x14ac:dyDescent="0.25">
      <c r="A35" s="132" t="s">
        <v>16</v>
      </c>
      <c r="B35" s="133"/>
      <c r="C35" s="134"/>
      <c r="D35" s="135"/>
      <c r="E35" s="136"/>
      <c r="F35" s="67"/>
      <c r="G35" s="27"/>
      <c r="K35" s="132" t="s">
        <v>16</v>
      </c>
      <c r="L35" s="133"/>
      <c r="M35" s="134"/>
      <c r="N35" s="135"/>
      <c r="O35" s="136"/>
      <c r="P35" s="67"/>
      <c r="Q35" s="67"/>
      <c r="R35" s="70"/>
      <c r="S35" s="70"/>
    </row>
    <row r="36" spans="1:19" ht="17.399999999999999" x14ac:dyDescent="0.3">
      <c r="A36" s="137" t="s">
        <v>14</v>
      </c>
      <c r="B36" s="138"/>
      <c r="C36" s="211">
        <v>50.86</v>
      </c>
      <c r="D36" s="52">
        <f>(C36)</f>
        <v>50.86</v>
      </c>
      <c r="E36" s="71"/>
      <c r="F36" s="67"/>
      <c r="G36" s="27"/>
      <c r="K36" s="137" t="s">
        <v>14</v>
      </c>
      <c r="L36" s="138"/>
      <c r="M36" s="211">
        <v>50.86</v>
      </c>
      <c r="N36" s="212">
        <v>50.86</v>
      </c>
      <c r="O36" s="71"/>
      <c r="P36" s="67"/>
      <c r="Q36" s="139"/>
      <c r="R36" s="70"/>
      <c r="S36" s="70"/>
    </row>
    <row r="37" spans="1:19" ht="18" thickBot="1" x14ac:dyDescent="0.35">
      <c r="A37" s="140" t="s">
        <v>13</v>
      </c>
      <c r="B37" s="51"/>
      <c r="C37" s="203">
        <v>0</v>
      </c>
      <c r="D37" s="141">
        <f>(C37)</f>
        <v>0</v>
      </c>
      <c r="E37" s="67"/>
      <c r="F37" s="67"/>
      <c r="G37" s="27"/>
      <c r="K37" s="140" t="s">
        <v>13</v>
      </c>
      <c r="L37" s="142"/>
      <c r="M37" s="203">
        <v>0</v>
      </c>
      <c r="N37" s="204">
        <v>0</v>
      </c>
      <c r="O37" s="67"/>
      <c r="P37" s="67"/>
      <c r="Q37" s="27"/>
    </row>
    <row r="38" spans="1:19" ht="14.4" thickTop="1" thickBot="1" x14ac:dyDescent="0.3">
      <c r="A38" s="143"/>
      <c r="B38" s="144"/>
      <c r="C38" s="145">
        <f>((LN(((LN(C36*0.01))/-C5)+2.71828183^(-C6*C37)))/-C6)</f>
        <v>79.998704133868614</v>
      </c>
      <c r="D38" s="146">
        <f>((LN(((LN(C36*0.01))/-D5)+2.71828183^(-D6*D37)))/-D6)</f>
        <v>84.031628103503365</v>
      </c>
      <c r="E38" s="98" t="s">
        <v>23</v>
      </c>
      <c r="F38" s="99" t="s">
        <v>21</v>
      </c>
      <c r="G38" s="100" t="s">
        <v>22</v>
      </c>
      <c r="K38" s="143"/>
      <c r="L38" s="144"/>
      <c r="M38" s="145">
        <f>((LN(((LN(M36*0.01))/-M5)+2.71828183^(-M6*M37)))/-M6)</f>
        <v>79.998704133868614</v>
      </c>
      <c r="N38" s="146">
        <f>((LN(((LN(N36*0.01))/-N5)+2.71828183^(-N6*N37)))/-N6)</f>
        <v>84.031628103503365</v>
      </c>
      <c r="O38" s="98" t="s">
        <v>23</v>
      </c>
      <c r="P38" s="99" t="s">
        <v>21</v>
      </c>
      <c r="Q38" s="100" t="s">
        <v>22</v>
      </c>
    </row>
    <row r="39" spans="1:19" ht="18.600000000000001" thickTop="1" thickBot="1" x14ac:dyDescent="0.35">
      <c r="A39" s="91" t="s">
        <v>15</v>
      </c>
      <c r="B39" s="147"/>
      <c r="C39" s="101">
        <f>ROUND(C38,2)</f>
        <v>80</v>
      </c>
      <c r="D39" s="69">
        <f>ROUND(D38,2)</f>
        <v>84.03</v>
      </c>
      <c r="E39" s="53" t="s">
        <v>24</v>
      </c>
      <c r="F39" s="68">
        <f>ROUND(((((2.71828183^(LN(2.71828183*G3)-G4*2.71828183^(-G5*C39)))))),2)</f>
        <v>9.89</v>
      </c>
      <c r="G39" s="103">
        <f>ROUND(((((2.71828183^(LN(2.71828183*G23)-G24*2.71828183^(-G25*D39)))))),2)</f>
        <v>8.8800000000000008</v>
      </c>
      <c r="K39" s="91" t="s">
        <v>15</v>
      </c>
      <c r="L39" s="147"/>
      <c r="M39" s="101">
        <f>ROUND(M38,2)</f>
        <v>80</v>
      </c>
      <c r="N39" s="69">
        <f>ROUND(N38,2)</f>
        <v>84.03</v>
      </c>
      <c r="O39" s="53" t="s">
        <v>24</v>
      </c>
      <c r="P39" s="68">
        <f>IF(M39=0,M9,ROUND(((((2.71828183^(LN(2.71828183*Q3)-Q4*2.71828183^(-Q5*M39)))))),2))</f>
        <v>9.89</v>
      </c>
      <c r="Q39" s="103">
        <f>IF(N39=0,N9,ROUND(((((2.71828183^(LN(2.71828183*Q23)-Q24*2.71828183^(-Q25*N39)))))),2))</f>
        <v>8.8800000000000008</v>
      </c>
    </row>
    <row r="40" spans="1:19" ht="14.4" thickTop="1" thickBot="1" x14ac:dyDescent="0.3">
      <c r="A40" s="148" t="s">
        <v>11</v>
      </c>
      <c r="B40" s="149"/>
      <c r="C40" s="150"/>
      <c r="D40" s="151"/>
      <c r="E40" s="53"/>
      <c r="F40" s="53"/>
      <c r="G40" s="152"/>
      <c r="K40" s="148" t="s">
        <v>11</v>
      </c>
      <c r="L40" s="149"/>
      <c r="M40" s="150"/>
      <c r="N40" s="151"/>
      <c r="O40" s="153"/>
      <c r="P40" s="154"/>
      <c r="Q40" s="154"/>
    </row>
    <row r="41" spans="1:19" ht="14.4" thickTop="1" thickBot="1" x14ac:dyDescent="0.3">
      <c r="A41" s="155" t="s">
        <v>12</v>
      </c>
      <c r="B41" s="156"/>
      <c r="C41" s="156"/>
      <c r="D41" s="157"/>
      <c r="E41" s="158"/>
      <c r="F41" s="159"/>
      <c r="G41" s="160"/>
      <c r="K41" s="155" t="s">
        <v>12</v>
      </c>
      <c r="L41" s="84"/>
      <c r="M41" s="84"/>
      <c r="N41" s="84"/>
      <c r="O41" s="161"/>
      <c r="P41" s="53"/>
      <c r="Q41" s="53"/>
    </row>
    <row r="42" spans="1:19" ht="13.8" thickTop="1" x14ac:dyDescent="0.25">
      <c r="A42" s="104"/>
      <c r="B42" s="104"/>
      <c r="C42" s="104"/>
      <c r="D42" s="104"/>
      <c r="E42" s="27"/>
      <c r="F42" s="27"/>
      <c r="G42" s="27"/>
      <c r="K42" s="82"/>
      <c r="L42" s="82"/>
      <c r="M42" s="82"/>
      <c r="N42" s="82"/>
      <c r="O42" s="85"/>
      <c r="P42" s="27"/>
      <c r="Q42" s="27"/>
      <c r="R42" s="27"/>
    </row>
    <row r="43" spans="1:19" ht="18" thickBot="1" x14ac:dyDescent="0.35">
      <c r="G43" s="162"/>
      <c r="K43" s="85"/>
      <c r="L43" s="85"/>
      <c r="M43" s="85"/>
      <c r="N43" s="85"/>
      <c r="O43" s="85"/>
      <c r="P43" s="27"/>
      <c r="Q43" s="27"/>
      <c r="R43" s="27"/>
    </row>
    <row r="44" spans="1:19" ht="18.600000000000001" thickTop="1" thickBot="1" x14ac:dyDescent="0.35">
      <c r="A44" s="163" t="s">
        <v>49</v>
      </c>
      <c r="B44" s="164"/>
      <c r="C44" s="82" t="s">
        <v>34</v>
      </c>
      <c r="D44" s="165" t="s">
        <v>33</v>
      </c>
      <c r="E44" s="166" t="s">
        <v>41</v>
      </c>
      <c r="F44" s="167"/>
      <c r="G44" s="168"/>
      <c r="H44" s="168"/>
      <c r="I44" s="33"/>
      <c r="K44" s="169"/>
      <c r="L44" s="169"/>
      <c r="M44" s="169"/>
      <c r="N44" s="169"/>
      <c r="O44" s="169"/>
      <c r="P44" s="27"/>
      <c r="Q44" s="27"/>
      <c r="R44" s="27"/>
    </row>
    <row r="45" spans="1:19" ht="18.600000000000001" thickTop="1" thickBot="1" x14ac:dyDescent="0.35">
      <c r="A45" s="170" t="s">
        <v>39</v>
      </c>
      <c r="B45" s="171" t="s">
        <v>40</v>
      </c>
      <c r="C45" s="229">
        <v>0</v>
      </c>
      <c r="D45" s="172"/>
      <c r="E45" s="161" t="s">
        <v>45</v>
      </c>
      <c r="F45" s="173">
        <f>IF(C45=0,C9,ROUND(((((2.71828183^(LN(2.71828183*G3)-G4*2.71828183^(-G5*C45)))))),2))</f>
        <v>81.53</v>
      </c>
      <c r="G45" s="10">
        <f ca="1">(C47-C46)</f>
        <v>38.380000000000003</v>
      </c>
      <c r="H45" s="10">
        <f ca="1">(-C5*C6)*2.71828183^((-C6*(C46+0*G45))-C5*2.71828183^(-C6*(C46+0*G45)))</f>
        <v>4.3801004168832884E-5</v>
      </c>
      <c r="I45" s="10">
        <f ca="1">(C46+0*G45)</f>
        <v>3.48</v>
      </c>
      <c r="K45" s="174"/>
      <c r="L45" s="174"/>
      <c r="M45" s="174"/>
      <c r="N45" s="174"/>
      <c r="O45" s="174"/>
    </row>
    <row r="46" spans="1:19" ht="18" thickTop="1" x14ac:dyDescent="0.3">
      <c r="A46" s="161"/>
      <c r="B46" s="175" t="s">
        <v>29</v>
      </c>
      <c r="C46" s="176">
        <f ca="1">ROUND((C45+(RAND()*(C47-C45))),2)</f>
        <v>3.48</v>
      </c>
      <c r="D46" s="177">
        <f ca="1">ROUND(((D50-D51)/(D52-D51))*100,2)</f>
        <v>99.25</v>
      </c>
      <c r="E46" s="161" t="s">
        <v>43</v>
      </c>
      <c r="F46" s="178">
        <f ca="1">ROUND(((H45*I45)+(H46*I46)+(H47*I47)+(H48*I48)+(H49*I49)+(H50*I50)+(H51*I51)+(H52*I52)+(H53*I53)+(H54*I54)+(H55*I55))/SUM(H45:H55)-C46,2)</f>
        <v>30.41</v>
      </c>
      <c r="G46" s="179"/>
      <c r="H46" s="10">
        <f ca="1">(-C5*C6)*2.71828183^((-C6*(C46+0.1*G45))-C5*2.71828183^(-C6*(C46+0.1*G45)))</f>
        <v>6.3136702893635535E-5</v>
      </c>
      <c r="I46" s="10">
        <f ca="1">(C46+0.1*G45)</f>
        <v>7.3180000000000005</v>
      </c>
      <c r="K46" s="67"/>
      <c r="L46" s="67"/>
      <c r="M46" s="180" t="s">
        <v>25</v>
      </c>
      <c r="N46" s="180"/>
      <c r="O46" s="67"/>
    </row>
    <row r="47" spans="1:19" ht="17.399999999999999" x14ac:dyDescent="0.3">
      <c r="A47" s="161"/>
      <c r="B47" s="181" t="s">
        <v>27</v>
      </c>
      <c r="C47" s="182">
        <f ca="1">ROUND((C45+(RAND()*(100-C45))),2)</f>
        <v>41.86</v>
      </c>
      <c r="D47" s="183">
        <f ca="1">ROUND(((2.71828183^(-C5*(2.71828183^(-C6*C47)-2.71828183^(-C6*C45))))*100),2)</f>
        <v>98.26</v>
      </c>
      <c r="E47" s="161" t="s">
        <v>42</v>
      </c>
      <c r="F47" s="184">
        <f ca="1">ROUND(((((2.71828183^(LN(2.71828183*G3)-G4*2.71828183^(-G5*C47)))))),2)</f>
        <v>42.24</v>
      </c>
      <c r="G47" s="179"/>
      <c r="H47" s="10">
        <f ca="1">(-C5*C6)*2.71828183^((-C6*(C46+0.2*G45))-C5*2.71828183^(-C6*(C46+0.2*G45)))</f>
        <v>9.0999869970663394E-5</v>
      </c>
      <c r="I47" s="10">
        <f ca="1">(C46+0.2*G45)</f>
        <v>11.156000000000001</v>
      </c>
      <c r="K47" s="185"/>
      <c r="L47" s="185"/>
      <c r="M47" s="179">
        <f>(2.71828183^(-M5*(2.71828183^(-M6*M19)-1)))</f>
        <v>0.50855750113059239</v>
      </c>
      <c r="N47" s="179">
        <f>(2.71828183^(-N5*(2.71828183^(-N6*N19)-1)))</f>
        <v>0.63609895079510681</v>
      </c>
      <c r="P47" s="67"/>
      <c r="Q47" s="67"/>
      <c r="R47" s="67"/>
    </row>
    <row r="48" spans="1:19" ht="17.399999999999999" x14ac:dyDescent="0.3">
      <c r="A48" s="161"/>
      <c r="B48" s="186" t="s">
        <v>28</v>
      </c>
      <c r="C48" s="187">
        <f ca="1">ROUND((C47+(RAND()*(100-C47))),2)</f>
        <v>83.51</v>
      </c>
      <c r="D48" s="188">
        <f ca="1">ROUND((2.71828183^(-C5*((2.71828183^(-C6*C48))-(2.71828183^(-C6*C47)))))*100,2)</f>
        <v>39.549999999999997</v>
      </c>
      <c r="E48" s="161" t="s">
        <v>44</v>
      </c>
      <c r="F48" s="189">
        <f ca="1">ROUND(((((2.71828183^(LN(2.71828183*G3)-G4*2.71828183^(-G5*C48)))))),2)</f>
        <v>8.06</v>
      </c>
      <c r="G48" s="179"/>
      <c r="H48" s="10">
        <f ca="1">(-C5*C6)*2.71828183^((-C6*(C46+0.3*G45))-C5*2.71828183^(-C6*(C46+0.3*G45)))</f>
        <v>1.3114250573979222E-4</v>
      </c>
      <c r="I48" s="10">
        <f ca="1">(C46+0.3*G45)</f>
        <v>14.994000000000002</v>
      </c>
      <c r="K48" s="185"/>
      <c r="L48" s="185"/>
      <c r="M48" s="179">
        <f>(2.71828183^(-M5*(2.71828183^(-M6*M11)-1)))</f>
        <v>1</v>
      </c>
      <c r="N48" s="179">
        <f>(2.71828183^(-N5*(2.71828183^(-N6*N11)-1)))</f>
        <v>1</v>
      </c>
      <c r="P48" s="190"/>
      <c r="Q48" s="190"/>
      <c r="R48" s="190"/>
    </row>
    <row r="49" spans="1:16" x14ac:dyDescent="0.25">
      <c r="A49" s="191"/>
      <c r="B49" s="192"/>
      <c r="C49" s="185"/>
      <c r="D49" s="193"/>
      <c r="E49" s="161"/>
      <c r="F49" s="152"/>
      <c r="G49" s="179"/>
      <c r="H49" s="10">
        <f ca="1">(-C5*C6)*2.71828183^((-C6*(C46+0.4*G45))-C5*2.71828183^(-C6*(C46+0.4*G45)))</f>
        <v>1.8895796557165531E-4</v>
      </c>
      <c r="I49" s="10">
        <f ca="1">(C46+0.4*G45)</f>
        <v>18.832000000000001</v>
      </c>
      <c r="N49" s="190"/>
      <c r="O49" s="190"/>
      <c r="P49" s="190"/>
    </row>
    <row r="50" spans="1:16" x14ac:dyDescent="0.25">
      <c r="A50" s="191"/>
      <c r="B50" s="194" t="s">
        <v>35</v>
      </c>
      <c r="C50" s="194" t="s">
        <v>30</v>
      </c>
      <c r="D50" s="195">
        <f ca="1">(2.71828183^(-C5*(2.71828183^(-C6*C46)-1)))</f>
        <v>0.99987022487537569</v>
      </c>
      <c r="E50" s="161"/>
      <c r="F50" s="152"/>
      <c r="G50" s="10"/>
      <c r="H50" s="10">
        <f ca="1">(-C5*C6)*2.71828183^((-C6*(C46+0.5*G45))-C5*2.71828183^(-C6*(C46+0.5*G45)))</f>
        <v>2.7218875638483311E-4</v>
      </c>
      <c r="I50" s="10">
        <f ca="1">(C46+0.5*G45)</f>
        <v>22.67</v>
      </c>
      <c r="N50" s="174"/>
      <c r="O50" s="174"/>
      <c r="P50" s="174"/>
    </row>
    <row r="51" spans="1:16" x14ac:dyDescent="0.25">
      <c r="A51" s="191"/>
      <c r="B51" s="194"/>
      <c r="C51" s="194" t="s">
        <v>31</v>
      </c>
      <c r="D51" s="195">
        <f ca="1">(2.71828183^(-C5*(2.71828183^(-C6*C47)-1)))</f>
        <v>0.98264424965827613</v>
      </c>
      <c r="E51" s="161"/>
      <c r="F51" s="152"/>
      <c r="G51" s="10"/>
      <c r="H51" s="10">
        <f ca="1">(-C5*C6)*2.71828183^((-C6*(C46+0.6*G45))-C5*2.71828183^(-C6*(C46+0.6*G45)))</f>
        <v>3.9192849096783799E-4</v>
      </c>
      <c r="I51" s="10">
        <f ca="1">(C46+0.6*G45)</f>
        <v>26.508000000000003</v>
      </c>
      <c r="N51" s="86"/>
      <c r="O51" s="86"/>
      <c r="P51" s="86"/>
    </row>
    <row r="52" spans="1:16" ht="13.8" thickBot="1" x14ac:dyDescent="0.3">
      <c r="A52" s="196"/>
      <c r="B52" s="197"/>
      <c r="C52" s="197" t="s">
        <v>32</v>
      </c>
      <c r="D52" s="198">
        <f>(2.71828183^(-C5*(2.71828183^(-C6*C45)-1)))</f>
        <v>1</v>
      </c>
      <c r="E52" s="158"/>
      <c r="F52" s="160"/>
      <c r="G52" s="10"/>
      <c r="H52" s="10">
        <f ca="1">(-C5*C6)*2.71828183^((-C6*(C46+0.7*G45))-C5*2.71828183^(-C6*(C46+0.7*G45)))</f>
        <v>5.6402819209733397E-4</v>
      </c>
      <c r="I52" s="10">
        <f ca="1">(C46+0.7*G45)</f>
        <v>30.346</v>
      </c>
      <c r="N52" s="174"/>
      <c r="O52" s="174"/>
      <c r="P52" s="174"/>
    </row>
    <row r="53" spans="1:16" ht="14.4" thickTop="1" thickBot="1" x14ac:dyDescent="0.3">
      <c r="G53" s="10"/>
      <c r="H53" s="10">
        <f ca="1">(-C5*C6)*2.71828183^((-C6*(C46+0.8*G45))-C5*2.71828183^(-C6*(C46+0.8*G45)))</f>
        <v>8.1104492661041852E-4</v>
      </c>
      <c r="I53" s="10">
        <f ca="1">(C46+0.8*G45)</f>
        <v>34.184000000000005</v>
      </c>
      <c r="N53" s="199"/>
      <c r="O53" s="199"/>
      <c r="P53" s="169"/>
    </row>
    <row r="54" spans="1:16" ht="18" thickTop="1" x14ac:dyDescent="0.3">
      <c r="A54" s="163" t="s">
        <v>50</v>
      </c>
      <c r="B54" s="164"/>
      <c r="C54" s="82" t="s">
        <v>34</v>
      </c>
      <c r="D54" s="165" t="s">
        <v>33</v>
      </c>
      <c r="E54" s="166" t="s">
        <v>41</v>
      </c>
      <c r="F54" s="200"/>
      <c r="G54" s="10"/>
      <c r="H54" s="10">
        <f ca="1">(-C5*C6)*2.71828183^((-C6*(C46+0.9*G45))-C5*2.71828183^(-C6*(C46+0.9*G45)))</f>
        <v>1.1648890998769059E-3</v>
      </c>
      <c r="I54" s="10">
        <f ca="1">(C46+0.9*G45)</f>
        <v>38.021999999999998</v>
      </c>
      <c r="N54" s="67"/>
      <c r="O54" s="67"/>
      <c r="P54" s="169"/>
    </row>
    <row r="55" spans="1:16" ht="17.399999999999999" x14ac:dyDescent="0.3">
      <c r="A55" s="161"/>
      <c r="B55" s="201" t="s">
        <v>26</v>
      </c>
      <c r="C55" s="202">
        <f>$C$45</f>
        <v>0</v>
      </c>
      <c r="D55" s="172"/>
      <c r="E55" s="161" t="s">
        <v>45</v>
      </c>
      <c r="F55" s="111">
        <f>IF(C55=0,D9,ROUND(((((2.71828183^(LN(2.71828183*G23)-G24*2.71828183^(-G25*C55)))))),2))</f>
        <v>85.24</v>
      </c>
      <c r="G55" s="10"/>
      <c r="H55" s="10">
        <f ca="1">(-C5*C6)*2.71828183^((-C6*(C46+1*G45))-C5*2.71828183^(-C6*(C46+1*G45)))</f>
        <v>1.6703096690403867E-3</v>
      </c>
      <c r="I55" s="10">
        <f ca="1">(C46+1*G45)</f>
        <v>41.86</v>
      </c>
      <c r="N55" s="190"/>
      <c r="O55" s="190"/>
      <c r="P55" s="85"/>
    </row>
    <row r="56" spans="1:16" ht="17.399999999999999" x14ac:dyDescent="0.3">
      <c r="A56" s="161"/>
      <c r="B56" s="175" t="s">
        <v>29</v>
      </c>
      <c r="C56" s="176">
        <f ca="1">(C46)</f>
        <v>3.48</v>
      </c>
      <c r="D56" s="61">
        <f ca="1">ROUND(((D60-D61)/(D62-D61))*100,2)</f>
        <v>99.35</v>
      </c>
      <c r="E56" s="161" t="s">
        <v>43</v>
      </c>
      <c r="F56" s="61">
        <f ca="1">ROUND(((H61*I61)+(H62*I62)+(H63*I63)+(H64*I64)+(H65*I65)+(H66*I66)+(H67*I67)+(H68*I68)+(H69*I69)+(H70*I70)+(H71*I71))/SUM(H61:H71)-C56,2)</f>
        <v>30.75</v>
      </c>
      <c r="G56" s="70"/>
      <c r="H56" s="70"/>
      <c r="I56" s="70"/>
      <c r="N56" s="190"/>
      <c r="O56" s="190"/>
      <c r="P56" s="85"/>
    </row>
    <row r="57" spans="1:16" ht="17.399999999999999" x14ac:dyDescent="0.3">
      <c r="A57" s="161"/>
      <c r="B57" s="181" t="s">
        <v>27</v>
      </c>
      <c r="C57" s="182">
        <f ca="1">(C47)</f>
        <v>41.86</v>
      </c>
      <c r="D57" s="69">
        <f ca="1">ROUND(((2.71828183^(-D5*(2.71828183^(-D6*C57)-2.71828183^(-D6*C55))))*100),2)</f>
        <v>99.01</v>
      </c>
      <c r="E57" s="161" t="s">
        <v>42</v>
      </c>
      <c r="F57" s="69">
        <f ca="1">ROUND(((((2.71828183^(LN(2.71828183*G23)-G24*2.71828183^(-G25*C57)))))),2)</f>
        <v>46.89</v>
      </c>
      <c r="G57" s="70"/>
      <c r="H57" s="70"/>
      <c r="I57" s="70"/>
      <c r="N57" s="190"/>
      <c r="O57" s="190"/>
      <c r="P57" s="85"/>
    </row>
    <row r="58" spans="1:16" ht="17.399999999999999" x14ac:dyDescent="0.3">
      <c r="A58" s="161"/>
      <c r="B58" s="186" t="s">
        <v>28</v>
      </c>
      <c r="C58" s="187">
        <f ca="1">(C48)</f>
        <v>83.51</v>
      </c>
      <c r="D58" s="119">
        <f ca="1">ROUND((2.71828183^(-D5*((2.71828183^(-D6*C58))-(2.71828183^(-D6*C57)))))*100,2)</f>
        <v>53.16</v>
      </c>
      <c r="E58" s="161" t="s">
        <v>44</v>
      </c>
      <c r="F58" s="119">
        <f ca="1">ROUND(((((2.71828183^(LN(2.71828183*G23)-G24*2.71828183^(-G25*C58)))))),2)</f>
        <v>9.17</v>
      </c>
      <c r="G58" s="70"/>
      <c r="H58" s="70"/>
      <c r="I58" s="70"/>
      <c r="N58" s="190"/>
      <c r="O58" s="190"/>
      <c r="P58" s="85"/>
    </row>
    <row r="59" spans="1:16" x14ac:dyDescent="0.25">
      <c r="A59" s="191"/>
      <c r="B59" s="192"/>
      <c r="C59" s="185"/>
      <c r="D59" s="193"/>
      <c r="E59" s="161"/>
      <c r="F59" s="152"/>
      <c r="G59" s="70"/>
      <c r="H59" s="70"/>
      <c r="I59" s="70"/>
      <c r="N59" s="67"/>
      <c r="O59" s="67"/>
      <c r="P59" s="67"/>
    </row>
    <row r="60" spans="1:16" x14ac:dyDescent="0.25">
      <c r="A60" s="191"/>
      <c r="B60" s="194" t="s">
        <v>35</v>
      </c>
      <c r="C60" s="194" t="s">
        <v>36</v>
      </c>
      <c r="D60" s="195">
        <f ca="1">(2.71828183^(-D5*(2.71828183^(-D6*C56)-1)))</f>
        <v>0.99993517216235539</v>
      </c>
      <c r="E60" s="161"/>
      <c r="F60" s="152"/>
      <c r="G60" s="10" t="s">
        <v>89</v>
      </c>
      <c r="H60" s="70"/>
      <c r="I60" s="70"/>
      <c r="N60" s="67"/>
      <c r="O60" s="67"/>
      <c r="P60" s="67"/>
    </row>
    <row r="61" spans="1:16" x14ac:dyDescent="0.25">
      <c r="A61" s="191"/>
      <c r="B61" s="194"/>
      <c r="C61" s="194" t="s">
        <v>37</v>
      </c>
      <c r="D61" s="195">
        <f ca="1">(2.71828183^(-D5*(2.71828183^(-D6*C57)-1)))</f>
        <v>0.99007855045564785</v>
      </c>
      <c r="E61" s="161"/>
      <c r="F61" s="152"/>
      <c r="G61" s="179">
        <f ca="1">(C57-C56)</f>
        <v>38.380000000000003</v>
      </c>
      <c r="H61" s="10">
        <f ca="1">(-D5*D6)*2.71828183^((-D6*(C56+0*G61))-D5*2.71828183^(-D6*(C56+0*G61)))</f>
        <v>2.2039953387479539E-5</v>
      </c>
      <c r="I61" s="10">
        <f ca="1">(C56+0*G61)</f>
        <v>3.48</v>
      </c>
      <c r="N61" s="67"/>
      <c r="O61" s="67"/>
      <c r="P61" s="67"/>
    </row>
    <row r="62" spans="1:16" ht="13.8" thickBot="1" x14ac:dyDescent="0.3">
      <c r="A62" s="196"/>
      <c r="B62" s="197"/>
      <c r="C62" s="197" t="s">
        <v>38</v>
      </c>
      <c r="D62" s="198">
        <f>(2.71828183^(-D5*(2.71828183^(-D6*C55)-1)))</f>
        <v>1</v>
      </c>
      <c r="E62" s="158"/>
      <c r="F62" s="160"/>
      <c r="G62" s="194"/>
      <c r="H62" s="10">
        <f ca="1">(-D5*D6)*2.71828183^((-D6*(C56+0.1*G61))-D5*2.71828183^(-D6*(C56+0.1*G61)))</f>
        <v>3.2301426311708145E-5</v>
      </c>
      <c r="I62" s="10">
        <f ca="1">(C56+0.1*G61)</f>
        <v>7.3180000000000005</v>
      </c>
      <c r="N62" s="190"/>
      <c r="O62" s="190"/>
      <c r="P62" s="190"/>
    </row>
    <row r="63" spans="1:16" ht="13.8" thickTop="1" x14ac:dyDescent="0.25">
      <c r="F63" s="154"/>
      <c r="G63" s="53"/>
      <c r="H63" s="10">
        <f ca="1">(-D5*D6)*2.71828183^((-D6*(C56+0.2*G61))-D5*2.71828183^(-D6*(C56+0.2*G61)))</f>
        <v>4.7338215490854652E-5</v>
      </c>
      <c r="I63" s="10">
        <f ca="1">(C56+0.2*G61)</f>
        <v>11.156000000000001</v>
      </c>
      <c r="N63" s="174"/>
      <c r="O63" s="174"/>
      <c r="P63" s="174"/>
    </row>
    <row r="64" spans="1:16" x14ac:dyDescent="0.25">
      <c r="H64" s="10">
        <f ca="1">(-D5*D6)*2.71828183^((-D6*(C56+0.3*G61))-D5*2.71828183^(-D6*(C56+0.3*G61)))</f>
        <v>6.9369970758686889E-5</v>
      </c>
      <c r="I64" s="10">
        <f ca="1">(C56+0.3*G61)</f>
        <v>14.994000000000002</v>
      </c>
      <c r="N64" s="85"/>
      <c r="O64" s="85"/>
      <c r="P64" s="85"/>
    </row>
    <row r="65" spans="8:16" x14ac:dyDescent="0.25">
      <c r="H65" s="10">
        <f ca="1">(-D5*D6)*2.71828183^((-D6*(C56+0.4*G61))-D5*2.71828183^(-D6*(C56+0.4*G61)))</f>
        <v>1.016450788492226E-4</v>
      </c>
      <c r="I65" s="10">
        <f ca="1">(C56+0.4*G61)</f>
        <v>18.832000000000001</v>
      </c>
      <c r="N65" s="85"/>
      <c r="O65" s="85"/>
      <c r="P65" s="85"/>
    </row>
    <row r="66" spans="8:16" x14ac:dyDescent="0.25">
      <c r="H66" s="10">
        <f ca="1">(-D5*D6)*2.71828183^((-D6*(C56+0.5*G61))-D5*2.71828183^(-D6*(C56+0.5*G61)))</f>
        <v>1.4891401117236565E-4</v>
      </c>
      <c r="I66" s="10">
        <f ca="1">(C56+0.5*G61)</f>
        <v>22.67</v>
      </c>
      <c r="N66" s="85"/>
      <c r="O66" s="85"/>
      <c r="P66" s="85"/>
    </row>
    <row r="67" spans="8:16" x14ac:dyDescent="0.25">
      <c r="H67" s="10">
        <f ca="1">(-D5*D6)*2.71828183^((-D6*(C56+0.6*G61))-D5*2.71828183^(-D6*(C56+0.6*G61)))</f>
        <v>2.1811651744697773E-4</v>
      </c>
      <c r="I67" s="10">
        <f ca="1">(C56+0.6*G61)</f>
        <v>26.508000000000003</v>
      </c>
      <c r="N67" s="174"/>
      <c r="O67" s="174"/>
      <c r="P67" s="174"/>
    </row>
    <row r="68" spans="8:16" x14ac:dyDescent="0.25">
      <c r="H68" s="10">
        <f ca="1">(-D5*D6)*2.71828183^((-D6*(C56+0.7*G61))-D5*2.71828183^(-D6*(C56+0.7*G61)))</f>
        <v>3.1937471240165469E-4</v>
      </c>
      <c r="I68" s="10">
        <f ca="1">(C56+0.7*G61)</f>
        <v>30.346</v>
      </c>
      <c r="N68" s="85"/>
      <c r="O68" s="85"/>
      <c r="P68" s="85"/>
    </row>
    <row r="69" spans="8:16" x14ac:dyDescent="0.25">
      <c r="H69" s="10">
        <f ca="1">(-D5*D6)*2.71828183^((-D6*(C56+0.8*G61))-D5*2.71828183^(-D6*(C56+0.8*G61)))</f>
        <v>4.6741839270074572E-4</v>
      </c>
      <c r="I69" s="10">
        <f ca="1">(C56+0.8*G61)</f>
        <v>34.184000000000005</v>
      </c>
      <c r="N69" s="85"/>
      <c r="O69" s="85"/>
      <c r="P69" s="85"/>
    </row>
    <row r="70" spans="8:16" x14ac:dyDescent="0.25">
      <c r="H70" s="10">
        <f ca="1">(-D5*D6)*2.71828183^((-D6*(C56+0.9*G61))-D5*2.71828183^(-D6*(C56+0.9*G61)))</f>
        <v>6.8360951831078465E-4</v>
      </c>
      <c r="I70" s="10">
        <f ca="1">(C56+0.9*G61)</f>
        <v>38.021999999999998</v>
      </c>
      <c r="N70" s="85"/>
      <c r="O70" s="85"/>
      <c r="P70" s="85"/>
    </row>
    <row r="71" spans="8:16" x14ac:dyDescent="0.25">
      <c r="H71" s="10">
        <f ca="1">(-D5*D6)*2.71828183^((-D6*(C56+1*G61))-D5*2.71828183^(-D6*(C56+1*G61)))</f>
        <v>9.9877194181619217E-4</v>
      </c>
      <c r="I71" s="10">
        <f ca="1">(C56+1*G61)</f>
        <v>41.86</v>
      </c>
      <c r="N71" s="85"/>
      <c r="O71" s="85"/>
      <c r="P71" s="85"/>
    </row>
    <row r="72" spans="8:16" x14ac:dyDescent="0.25">
      <c r="N72" s="85"/>
      <c r="O72" s="85"/>
      <c r="P72" s="85"/>
    </row>
    <row r="73" spans="8:16" x14ac:dyDescent="0.25">
      <c r="N73" s="174"/>
      <c r="O73" s="174"/>
      <c r="P73" s="174"/>
    </row>
    <row r="74" spans="8:16" x14ac:dyDescent="0.25">
      <c r="N74" s="85"/>
      <c r="O74" s="85"/>
      <c r="P74" s="85"/>
    </row>
    <row r="75" spans="8:16" x14ac:dyDescent="0.25">
      <c r="N75" s="85"/>
      <c r="O75" s="85"/>
      <c r="P75" s="85"/>
    </row>
    <row r="76" spans="8:16" x14ac:dyDescent="0.25">
      <c r="N76" s="85"/>
      <c r="O76" s="85"/>
      <c r="P76" s="85"/>
    </row>
    <row r="77" spans="8:16" x14ac:dyDescent="0.25">
      <c r="N77" s="174"/>
      <c r="O77" s="174"/>
      <c r="P77" s="174"/>
    </row>
    <row r="78" spans="8:16" x14ac:dyDescent="0.25">
      <c r="N78" s="85"/>
      <c r="O78" s="85"/>
      <c r="P78" s="85"/>
    </row>
    <row r="79" spans="8:16" x14ac:dyDescent="0.25">
      <c r="N79" s="169"/>
      <c r="O79" s="169"/>
      <c r="P79" s="169"/>
    </row>
    <row r="80" spans="8:16" x14ac:dyDescent="0.25">
      <c r="N80" s="169"/>
      <c r="O80" s="169"/>
      <c r="P80" s="169"/>
    </row>
    <row r="81" spans="14:16" x14ac:dyDescent="0.25">
      <c r="N81" s="169"/>
      <c r="O81" s="169"/>
      <c r="P81" s="169"/>
    </row>
    <row r="82" spans="14:16" x14ac:dyDescent="0.25">
      <c r="N82" s="85"/>
      <c r="O82" s="85"/>
      <c r="P82" s="85"/>
    </row>
    <row r="83" spans="14:16" x14ac:dyDescent="0.25">
      <c r="N83" s="85"/>
      <c r="O83" s="85"/>
      <c r="P83" s="85"/>
    </row>
    <row r="84" spans="14:16" x14ac:dyDescent="0.25">
      <c r="N84" s="169"/>
      <c r="O84" s="169"/>
      <c r="P84" s="169"/>
    </row>
    <row r="85" spans="14:16" x14ac:dyDescent="0.25">
      <c r="N85" s="174"/>
      <c r="O85" s="174"/>
      <c r="P85" s="174"/>
    </row>
    <row r="86" spans="14:16" x14ac:dyDescent="0.25">
      <c r="N86" s="67"/>
      <c r="O86" s="67"/>
      <c r="P86" s="67"/>
    </row>
    <row r="87" spans="14:16" x14ac:dyDescent="0.25">
      <c r="O87" s="27"/>
      <c r="P87" s="27"/>
    </row>
  </sheetData>
  <sheetProtection algorithmName="SHA-512" hashValue="rq6Xgs0ncPi6ro7GnmA52LguwzVa1ooNwy9/FzrnEpCXe482ONkRHNrvf0RTO/JezCuYaear0rcaTXmQXufLFw==" saltValue="s5gzU+LhqrxLLC0Gu3Am6Q==" spinCount="100000" sheet="1" objects="1" scenarios="1"/>
  <phoneticPr fontId="2" type="noConversion"/>
  <dataValidations count="4">
    <dataValidation type="decimal" allowBlank="1" showInputMessage="1" showErrorMessage="1" sqref="C55 C45 C11 C36 N37 M11 N11 M12 N12 M13 N13 M14 N14 M36 N36 M37 C37" xr:uid="{8013FC54-8A8F-4031-9865-7D1DA4A762EF}">
      <formula1>0</formula1>
      <formula2>100</formula2>
    </dataValidation>
    <dataValidation type="decimal" allowBlank="1" showInputMessage="1" showErrorMessage="1" sqref="C12" xr:uid="{D98A96C8-376E-4905-A834-531942812CEB}">
      <formula1>C11</formula1>
      <formula2>C13</formula2>
    </dataValidation>
    <dataValidation type="decimal" allowBlank="1" showInputMessage="1" showErrorMessage="1" sqref="C13" xr:uid="{7B725DA3-A3B2-4294-85A1-DA8B251952BA}">
      <formula1>C11</formula1>
      <formula2>100</formula2>
    </dataValidation>
    <dataValidation type="decimal" allowBlank="1" showInputMessage="1" showErrorMessage="1" sqref="C14" xr:uid="{897B538E-7E46-4A0B-8A78-5585CD73A84A}">
      <formula1>C13</formula1>
      <formula2>100</formula2>
    </dataValidation>
  </dataValidations>
  <pageMargins left="0.78740157499999996" right="0.78740157499999996" top="0.984251969" bottom="0.984251969" header="0.4921259845" footer="0.4921259845"/>
  <pageSetup paperSize="9" orientation="portrait" horizontalDpi="4294967293" verticalDpi="4294967293" r:id="rId1"/>
  <headerFooter alignWithMargins="0"/>
  <ignoredErrors>
    <ignoredError sqref="F12:G1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0"/>
  <sheetViews>
    <sheetView zoomScale="64" workbookViewId="0">
      <selection activeCell="C12" sqref="C12"/>
    </sheetView>
  </sheetViews>
  <sheetFormatPr baseColWidth="10" defaultRowHeight="13.2" x14ac:dyDescent="0.25"/>
  <cols>
    <col min="1" max="1" width="11.5546875" style="2"/>
    <col min="2" max="2" width="17.6640625" style="2" customWidth="1"/>
    <col min="3" max="3" width="13.109375" style="2" customWidth="1"/>
    <col min="4" max="4" width="17.109375" style="2" customWidth="1"/>
    <col min="5" max="5" width="17.33203125" style="2" customWidth="1"/>
    <col min="6" max="7" width="11.5546875" style="2"/>
    <col min="8" max="8" width="14.5546875" style="2" customWidth="1"/>
    <col min="9" max="9" width="11.5546875" style="2"/>
    <col min="10" max="10" width="26.44140625" style="2" customWidth="1"/>
    <col min="11" max="11" width="14.109375" style="2" customWidth="1"/>
    <col min="12" max="12" width="62.88671875" style="2" customWidth="1"/>
    <col min="13" max="13" width="16" style="2" customWidth="1"/>
    <col min="14" max="14" width="14" style="2" customWidth="1"/>
    <col min="15" max="15" width="15.5546875" style="2" customWidth="1"/>
    <col min="16" max="16" width="11.5546875" style="2"/>
    <col min="17" max="17" width="14.44140625" style="2" customWidth="1"/>
    <col min="18" max="16384" width="11.5546875" style="2"/>
  </cols>
  <sheetData>
    <row r="1" spans="1:19" ht="14.4" thickBot="1" x14ac:dyDescent="0.3">
      <c r="E1" s="3"/>
      <c r="O1" s="3"/>
    </row>
    <row r="2" spans="1:19" ht="14.4" thickTop="1" x14ac:dyDescent="0.25">
      <c r="A2" s="4" t="s">
        <v>77</v>
      </c>
      <c r="B2" s="5"/>
      <c r="C2" s="5"/>
      <c r="D2" s="6"/>
      <c r="E2" s="7" t="s">
        <v>86</v>
      </c>
      <c r="F2" s="8"/>
      <c r="G2" s="9">
        <f>(C13-C12)</f>
        <v>20</v>
      </c>
      <c r="H2" s="10">
        <f>(-C5*C6)*2.71828183^((-C6*(C12+0*G2))-C5*2.71828183^(-C6*(C12+0*G2)))</f>
        <v>2.0745846203245488E-2</v>
      </c>
      <c r="I2" s="10">
        <f>(C12+0*G2)</f>
        <v>60</v>
      </c>
      <c r="K2" s="4" t="s">
        <v>77</v>
      </c>
      <c r="L2" s="5"/>
      <c r="M2" s="5"/>
      <c r="N2" s="6"/>
      <c r="O2" s="7" t="s">
        <v>86</v>
      </c>
      <c r="P2" s="8"/>
      <c r="Q2" s="9">
        <f>(M19-M33)</f>
        <v>20</v>
      </c>
      <c r="R2" s="10">
        <f>(-M5*M6)*2.71828183^((-M6*(M33+0*Q2))-M5*2.71828183^(-M6*(M33+0*Q2)))</f>
        <v>2.0745846203245488E-2</v>
      </c>
      <c r="S2" s="10">
        <f>(M33+0*Q2)</f>
        <v>60</v>
      </c>
    </row>
    <row r="3" spans="1:19" ht="14.4" thickBot="1" x14ac:dyDescent="0.3">
      <c r="A3" s="11" t="s">
        <v>20</v>
      </c>
      <c r="B3" s="12"/>
      <c r="C3" s="12"/>
      <c r="D3" s="13"/>
      <c r="E3" s="14" t="s">
        <v>46</v>
      </c>
      <c r="F3" s="14"/>
      <c r="G3" s="15">
        <v>56.54307</v>
      </c>
      <c r="H3" s="10">
        <f>(-C5*C6)*2.71828183^((-C6*(C12+0.1*G2))-C5*2.71828183^(-C6*(C12+0.1*G2)))</f>
        <v>2.2742822348089609E-2</v>
      </c>
      <c r="I3" s="10">
        <f>(C12+0.1*G2)</f>
        <v>62</v>
      </c>
      <c r="K3" s="11" t="s">
        <v>20</v>
      </c>
      <c r="L3" s="12"/>
      <c r="M3" s="12"/>
      <c r="N3" s="13"/>
      <c r="O3" s="14" t="s">
        <v>46</v>
      </c>
      <c r="P3" s="14"/>
      <c r="Q3" s="15">
        <f t="shared" ref="Q3:Q5" si="0">G3</f>
        <v>56.54307</v>
      </c>
      <c r="R3" s="10">
        <f>(-M5*M6)*2.71828183^((-M6*(M33+0.1*Q2))-M5*2.71828183^(-M6*(M33+0.1*Q2)))</f>
        <v>2.2742822348089609E-2</v>
      </c>
      <c r="S3" s="10">
        <f>(M33+0.1*Q2)</f>
        <v>62</v>
      </c>
    </row>
    <row r="4" spans="1:19" ht="13.8" thickTop="1" x14ac:dyDescent="0.25">
      <c r="A4" s="16" t="s">
        <v>82</v>
      </c>
      <c r="B4" s="17"/>
      <c r="C4" s="213" t="s">
        <v>78</v>
      </c>
      <c r="D4" s="214" t="s">
        <v>79</v>
      </c>
      <c r="E4" s="15" t="s">
        <v>84</v>
      </c>
      <c r="F4" s="20" t="s">
        <v>48</v>
      </c>
      <c r="G4" s="15">
        <v>0.83214624000000004</v>
      </c>
      <c r="H4" s="10">
        <f>(-C5*C6)*2.71828183^((-C6*(C12+0.2*G2))-C5*2.71828183^(-C6*(C12+0.2*G2)))</f>
        <v>2.4651240143192019E-2</v>
      </c>
      <c r="I4" s="10">
        <f>(C12+0.2*G2)</f>
        <v>64</v>
      </c>
      <c r="K4" s="21" t="s">
        <v>83</v>
      </c>
      <c r="L4" s="17"/>
      <c r="M4" s="213" t="s">
        <v>78</v>
      </c>
      <c r="N4" s="214" t="s">
        <v>79</v>
      </c>
      <c r="O4" s="15" t="s">
        <v>84</v>
      </c>
      <c r="P4" s="20" t="s">
        <v>48</v>
      </c>
      <c r="Q4" s="15">
        <f t="shared" si="0"/>
        <v>0.83214624000000004</v>
      </c>
      <c r="R4" s="10">
        <f>(-M5*M6)*2.71828183^((-M6*(M33+0.2*Q2))-M5*2.71828183^(-M6*(M33+0.2*Q2)))</f>
        <v>2.4651240143192019E-2</v>
      </c>
      <c r="S4" s="10">
        <f>(M33+0.2*Q2)</f>
        <v>64</v>
      </c>
    </row>
    <row r="5" spans="1:19" x14ac:dyDescent="0.25">
      <c r="A5" s="22" t="s">
        <v>0</v>
      </c>
      <c r="B5" s="23"/>
      <c r="C5" s="24">
        <v>3.3707899999999998E-3</v>
      </c>
      <c r="D5" s="26">
        <v>1.40324E-3</v>
      </c>
      <c r="E5" s="15" t="s">
        <v>85</v>
      </c>
      <c r="F5" s="15" t="s">
        <v>47</v>
      </c>
      <c r="G5" s="15">
        <v>-1.622403E-2</v>
      </c>
      <c r="H5" s="10">
        <f>(-C5*C6)*2.71828183^((-C6*(C12+0.3*G2))-C5*2.71828183^(-C6*(C12+0.3*G2)))</f>
        <v>2.6367695517464977E-2</v>
      </c>
      <c r="I5" s="10">
        <f>(C12+0.3*G2)</f>
        <v>66</v>
      </c>
      <c r="K5" s="22" t="s">
        <v>0</v>
      </c>
      <c r="L5" s="23"/>
      <c r="M5" s="24">
        <f t="shared" ref="M5:M9" si="1">C5</f>
        <v>3.3707899999999998E-3</v>
      </c>
      <c r="N5" s="26">
        <f t="shared" ref="N5:N9" si="2">D5</f>
        <v>1.40324E-3</v>
      </c>
      <c r="O5" s="15" t="s">
        <v>85</v>
      </c>
      <c r="P5" s="15" t="s">
        <v>47</v>
      </c>
      <c r="Q5" s="15">
        <f t="shared" si="0"/>
        <v>-1.622403E-2</v>
      </c>
      <c r="R5" s="10">
        <f>(-M5*M6)*2.71828183^((-M6*(M33+0.3*Q2))-M5*2.71828183^(-M6*(M33+0.3*Q2)))</f>
        <v>2.6367695517464977E-2</v>
      </c>
      <c r="S5" s="10">
        <f>(M33+0.3*Q2)</f>
        <v>66</v>
      </c>
    </row>
    <row r="6" spans="1:19" x14ac:dyDescent="0.25">
      <c r="A6" s="22" t="s">
        <v>1</v>
      </c>
      <c r="B6" s="23"/>
      <c r="C6" s="24">
        <v>-7.9025052999999998E-2</v>
      </c>
      <c r="D6" s="26">
        <v>-8.2206298999999997E-2</v>
      </c>
      <c r="E6" s="27"/>
      <c r="F6" s="28"/>
      <c r="G6" s="28"/>
      <c r="H6" s="10">
        <f>(-C5*C6)*2.71828183^((-C6*(C12+0.4*G2))-C5*2.71828183^(-C6*(C12+0.4*G2)))</f>
        <v>2.7768865580132925E-2</v>
      </c>
      <c r="I6" s="10">
        <f>(C12+0.4*G2)</f>
        <v>68</v>
      </c>
      <c r="K6" s="22" t="s">
        <v>1</v>
      </c>
      <c r="L6" s="23"/>
      <c r="M6" s="24">
        <f t="shared" si="1"/>
        <v>-7.9025052999999998E-2</v>
      </c>
      <c r="N6" s="26">
        <f t="shared" si="2"/>
        <v>-8.2206298999999997E-2</v>
      </c>
      <c r="O6" s="27"/>
      <c r="P6" s="28"/>
      <c r="Q6" s="28"/>
      <c r="R6" s="10">
        <f>(-M5*M6)*2.71828183^((-M6*(M33+0.4*Q2))-M5*2.71828183^(-M6*(M33+0.4*Q2)))</f>
        <v>2.7768865580132925E-2</v>
      </c>
      <c r="S6" s="10">
        <f>(M33+0.4*Q2)</f>
        <v>68</v>
      </c>
    </row>
    <row r="7" spans="1:19" x14ac:dyDescent="0.25">
      <c r="A7" s="29" t="s">
        <v>18</v>
      </c>
      <c r="B7" s="30"/>
      <c r="C7" s="31">
        <v>72.040000000000006</v>
      </c>
      <c r="D7" s="32">
        <v>79.91</v>
      </c>
      <c r="F7" s="33"/>
      <c r="G7" s="33"/>
      <c r="H7" s="10">
        <f>(-C5*C6)*2.71828183^((-C6*(C12+0.5*G2))-C5*2.71828183^(-C6*(C12+0.5*G2)))</f>
        <v>2.8717149731896978E-2</v>
      </c>
      <c r="I7" s="10">
        <f>(C12+0.5*G2)</f>
        <v>70</v>
      </c>
      <c r="K7" s="29" t="s">
        <v>18</v>
      </c>
      <c r="L7" s="30"/>
      <c r="M7" s="31">
        <f t="shared" si="1"/>
        <v>72.040000000000006</v>
      </c>
      <c r="N7" s="32">
        <f t="shared" si="2"/>
        <v>79.91</v>
      </c>
      <c r="R7" s="10">
        <f>(-M5*M6)*2.71828183^((-M6*(M33+0.5*Q2))-M5*2.71828183^(-M6*(M33+0.5*Q2)))</f>
        <v>2.8717149731896978E-2</v>
      </c>
      <c r="S7" s="10">
        <f>(M33+0.5*Q2)</f>
        <v>70</v>
      </c>
    </row>
    <row r="8" spans="1:19" x14ac:dyDescent="0.25">
      <c r="A8" s="29" t="s">
        <v>80</v>
      </c>
      <c r="B8" s="23"/>
      <c r="C8" s="35">
        <v>0.98975948999999996</v>
      </c>
      <c r="D8" s="36">
        <v>0.99853561999999996</v>
      </c>
      <c r="H8" s="10">
        <f>(-C5*C6)*2.71828183^((-C6*(C12+0.6*G2))-C5*2.71828183^(-C6*(C12+0.6*G2)))</f>
        <v>2.9071578113677124E-2</v>
      </c>
      <c r="I8" s="10">
        <f>(C12+0.6*G2)</f>
        <v>72</v>
      </c>
      <c r="K8" s="29" t="s">
        <v>80</v>
      </c>
      <c r="L8" s="23"/>
      <c r="M8" s="35">
        <f t="shared" si="1"/>
        <v>0.98975948999999996</v>
      </c>
      <c r="N8" s="36">
        <f t="shared" si="2"/>
        <v>0.99853561999999996</v>
      </c>
      <c r="R8" s="10">
        <f>(-M5*M6)*2.71828183^((-M6*(M33+0.6*Q2))-M5*2.71828183^(-M6*(M33+0.6*Q2)))</f>
        <v>2.9071578113677124E-2</v>
      </c>
      <c r="S8" s="10">
        <f>(M33+0.6*Q2)</f>
        <v>72</v>
      </c>
    </row>
    <row r="9" spans="1:19" ht="13.8" thickBot="1" x14ac:dyDescent="0.3">
      <c r="A9" s="37" t="s">
        <v>19</v>
      </c>
      <c r="B9" s="38"/>
      <c r="C9" s="39">
        <v>65.260000000000005</v>
      </c>
      <c r="D9" s="40">
        <v>76.48</v>
      </c>
      <c r="E9" s="41"/>
      <c r="F9" s="42"/>
      <c r="G9" s="42"/>
      <c r="H9" s="10">
        <f>(-C5*C6)*2.71828183^((-C6*(C12+0.7*G2))-C5*2.71828183^(-C6*(C12+0.7*G2)))</f>
        <v>2.8704839263164045E-2</v>
      </c>
      <c r="I9" s="10">
        <f>(C12+0.7*G2)</f>
        <v>74</v>
      </c>
      <c r="K9" s="37" t="s">
        <v>19</v>
      </c>
      <c r="L9" s="38"/>
      <c r="M9" s="39">
        <f t="shared" si="1"/>
        <v>65.260000000000005</v>
      </c>
      <c r="N9" s="40">
        <f t="shared" si="2"/>
        <v>76.48</v>
      </c>
      <c r="O9" s="41"/>
      <c r="P9" s="42"/>
      <c r="Q9" s="42"/>
      <c r="R9" s="10">
        <f>(-M5*M6)*2.71828183^((-M6*(M33+0.7*Q2))-M5*2.71828183^(-M6*(M33+0.7*Q2)))</f>
        <v>2.8704839263164045E-2</v>
      </c>
      <c r="S9" s="10">
        <f>(M33+0.7*Q2)</f>
        <v>74</v>
      </c>
    </row>
    <row r="10" spans="1:19" ht="14.4" thickTop="1" thickBot="1" x14ac:dyDescent="0.3">
      <c r="A10" s="43" t="s">
        <v>17</v>
      </c>
      <c r="B10" s="44"/>
      <c r="C10" s="45"/>
      <c r="D10" s="46"/>
      <c r="E10" s="47" t="s">
        <v>23</v>
      </c>
      <c r="F10" s="48" t="s">
        <v>21</v>
      </c>
      <c r="G10" s="49" t="s">
        <v>22</v>
      </c>
      <c r="H10" s="10">
        <f>(-C5*C6)*2.71828183^((-C6*(C12+0.8*G2))-C5*2.71828183^(-C6*(C12+0.8*G2)))</f>
        <v>2.7526098497820204E-2</v>
      </c>
      <c r="I10" s="10">
        <f>(C12+0.8*G2)</f>
        <v>76</v>
      </c>
      <c r="K10" s="43" t="s">
        <v>17</v>
      </c>
      <c r="L10" s="44"/>
      <c r="M10" s="45"/>
      <c r="N10" s="46"/>
      <c r="O10" s="47" t="s">
        <v>23</v>
      </c>
      <c r="P10" s="48" t="s">
        <v>21</v>
      </c>
      <c r="Q10" s="49" t="s">
        <v>22</v>
      </c>
      <c r="R10" s="10">
        <f>(-M5*M6)*2.71828183^((-M6*(M33+0.8*Q2))-M5*2.71828183^(-M6*(M33+0.8*Q2)))</f>
        <v>2.7526098497820204E-2</v>
      </c>
      <c r="S10" s="10">
        <f>(M33+0.8*Q2)</f>
        <v>76</v>
      </c>
    </row>
    <row r="11" spans="1:19" ht="18.600000000000001" thickTop="1" thickBot="1" x14ac:dyDescent="0.35">
      <c r="A11" s="50" t="s">
        <v>10</v>
      </c>
      <c r="B11" s="51"/>
      <c r="C11" s="203">
        <v>0</v>
      </c>
      <c r="D11" s="52">
        <f>(C11)</f>
        <v>0</v>
      </c>
      <c r="E11" s="53" t="s">
        <v>24</v>
      </c>
      <c r="F11" s="54">
        <f>IF(C11=0,C9,ROUND(((((2.71828183^(LN(2.71828183*G3)-G4*2.71828183^(-G5*C11)))))),2))</f>
        <v>65.260000000000005</v>
      </c>
      <c r="G11" s="55">
        <f>IF(C11=0,D9,ROUND(((((2.71828183^(LN(2.71828183*G23)-G24*2.71828183^(-G25*D11)))))),2))</f>
        <v>76.48</v>
      </c>
      <c r="H11" s="10">
        <f>(-C5*C6)*2.71828183^((-C6*(C12+0.9*G2))-C5*2.71828183^(-C6*(C12+0.9*G2)))</f>
        <v>2.5507223699813539E-2</v>
      </c>
      <c r="I11" s="10">
        <f>(C12+0.9*G2)</f>
        <v>78</v>
      </c>
      <c r="K11" s="56" t="s">
        <v>65</v>
      </c>
      <c r="L11" s="51"/>
      <c r="M11" s="203">
        <v>0</v>
      </c>
      <c r="N11" s="204">
        <v>0</v>
      </c>
      <c r="O11" s="53" t="s">
        <v>24</v>
      </c>
      <c r="P11" s="54">
        <f>IF(M11=0,M9,ROUND(((((2.71828183^(LN(2.71828183*Q3)-Q4*2.71828183^(-Q5*M11)))))),2))</f>
        <v>65.260000000000005</v>
      </c>
      <c r="Q11" s="55">
        <f>IF(N11=0,N9,ROUND(((((2.71828183^(LN(2.71828183*Q23)-Q24*2.71828183^(-Q25*N11)))))),2))</f>
        <v>76.48</v>
      </c>
      <c r="R11" s="10">
        <f>(-M5*M6)*2.71828183^((-M6*(M33+0.9*Q2))-M5*2.71828183^(-M6*(M33+0.9*Q2)))</f>
        <v>2.5507223699813539E-2</v>
      </c>
      <c r="S11" s="10">
        <f>(M33+0.9*Q2)</f>
        <v>78</v>
      </c>
    </row>
    <row r="12" spans="1:19" ht="18" thickTop="1" x14ac:dyDescent="0.3">
      <c r="A12" s="57" t="s">
        <v>9</v>
      </c>
      <c r="B12" s="58"/>
      <c r="C12" s="205">
        <v>60</v>
      </c>
      <c r="D12" s="52">
        <f>(C12)</f>
        <v>60</v>
      </c>
      <c r="E12" s="59" t="s">
        <v>51</v>
      </c>
      <c r="F12" s="60">
        <f>ROUND(((H2*I2)+(H3*I3)+(H4*I4)+(H5*I5)+(H6*I6)+(H7*I7)+(H8*I8)+(H9*I9)+(H10*I10)+(H11*I11)+(H12*I12))/SUM(H2:H12)-C12,2)</f>
        <v>10.25</v>
      </c>
      <c r="G12" s="215">
        <f>ROUND(((H22*I22)+(H23*I23)+(H24*I24)+(H25*I25)+(H26*I26)+(H27*I27)+(H28*I28)+(H29*I29)+(H30*I30)+(H31*I31)+(H32*I32))/SUM(H22:H32)-D12,2)</f>
        <v>11.61</v>
      </c>
      <c r="H12" s="62">
        <f>(-C5*C6)*2.71828183^((-C6*(C12+1*G2))-C5*2.71828183^(-C6*(C12+1*G2)))</f>
        <v>2.2707244003160688E-2</v>
      </c>
      <c r="I12" s="10">
        <f>(C12+1*G2)</f>
        <v>80</v>
      </c>
      <c r="K12" s="57" t="s">
        <v>66</v>
      </c>
      <c r="L12" s="58"/>
      <c r="M12" s="205">
        <v>62.41</v>
      </c>
      <c r="N12" s="206">
        <v>72.3</v>
      </c>
      <c r="O12" s="63"/>
      <c r="P12" s="64"/>
      <c r="Q12" s="64"/>
      <c r="R12" s="10">
        <f>(-M5*M6)*2.71828183^((-M6*(M33+1*Q2))-M5*2.71828183^(-M6*(M33+1*Q2)))</f>
        <v>2.2707244003160688E-2</v>
      </c>
      <c r="S12" s="10">
        <f>(M33+1*Q2)</f>
        <v>80</v>
      </c>
    </row>
    <row r="13" spans="1:19" ht="17.399999999999999" x14ac:dyDescent="0.3">
      <c r="A13" s="65" t="s">
        <v>8</v>
      </c>
      <c r="B13" s="66"/>
      <c r="C13" s="207">
        <v>80</v>
      </c>
      <c r="D13" s="52">
        <v>80</v>
      </c>
      <c r="E13" s="67" t="s">
        <v>24</v>
      </c>
      <c r="F13" s="68">
        <f>ROUND(((((2.71828183^(LN(2.71828183*G3)-G4*2.71828183^(-G5*C13)))))),2)</f>
        <v>7.3</v>
      </c>
      <c r="G13" s="69">
        <f>ROUND(((((2.71828183^(LN(2.71828183*G23)-G24*2.71828183^(-G25*D13)))))),2)</f>
        <v>8.76</v>
      </c>
      <c r="H13" s="70"/>
      <c r="I13" s="70"/>
      <c r="K13" s="65" t="s">
        <v>67</v>
      </c>
      <c r="L13" s="66"/>
      <c r="M13" s="207">
        <v>15.36</v>
      </c>
      <c r="N13" s="208">
        <v>36.56</v>
      </c>
      <c r="O13" s="71"/>
      <c r="P13" s="72"/>
      <c r="Q13" s="72"/>
      <c r="R13" s="70"/>
      <c r="S13" s="70"/>
    </row>
    <row r="14" spans="1:19" ht="18" thickBot="1" x14ac:dyDescent="0.35">
      <c r="A14" s="73" t="s">
        <v>7</v>
      </c>
      <c r="B14" s="74"/>
      <c r="C14" s="209">
        <v>90</v>
      </c>
      <c r="D14" s="75">
        <f>(C14)</f>
        <v>90</v>
      </c>
      <c r="E14" s="53" t="s">
        <v>24</v>
      </c>
      <c r="F14" s="76">
        <f>ROUND(((((2.71828183^(LN(2.71828183*G3)-G4*2.71828183^(-G5*C14)))))),2)</f>
        <v>4.2699999999999996</v>
      </c>
      <c r="G14" s="77">
        <f>ROUND(((((2.71828183^(LN(2.71828183*G23)-G24*2.71828183^(-G25*D14)))))),2)</f>
        <v>4.59</v>
      </c>
      <c r="H14" s="70"/>
      <c r="I14" s="70"/>
      <c r="K14" s="73" t="s">
        <v>68</v>
      </c>
      <c r="L14" s="74"/>
      <c r="M14" s="209">
        <v>10.44</v>
      </c>
      <c r="N14" s="210">
        <v>27.67</v>
      </c>
      <c r="O14" s="71"/>
      <c r="P14" s="78"/>
      <c r="Q14" s="78"/>
      <c r="R14" s="70"/>
      <c r="S14" s="70"/>
    </row>
    <row r="15" spans="1:19" ht="14.4" thickTop="1" thickBot="1" x14ac:dyDescent="0.3">
      <c r="A15" s="79" t="s">
        <v>12</v>
      </c>
      <c r="B15" s="80"/>
      <c r="C15" s="80"/>
      <c r="D15" s="81"/>
      <c r="E15" s="63"/>
      <c r="F15" s="82"/>
      <c r="G15" s="83"/>
      <c r="H15" s="70"/>
      <c r="I15" s="70"/>
      <c r="K15" s="79" t="s">
        <v>12</v>
      </c>
      <c r="L15" s="84"/>
      <c r="M15" s="84"/>
      <c r="N15" s="81"/>
      <c r="O15" s="71"/>
      <c r="P15" s="85"/>
      <c r="Q15" s="86"/>
      <c r="R15" s="70"/>
      <c r="S15" s="70"/>
    </row>
    <row r="16" spans="1:19" ht="13.8" thickTop="1" x14ac:dyDescent="0.25">
      <c r="A16" s="87" t="s">
        <v>5</v>
      </c>
      <c r="B16" s="88"/>
      <c r="C16" s="89"/>
      <c r="D16" s="90"/>
      <c r="E16" s="67"/>
      <c r="F16" s="67"/>
      <c r="G16" s="67"/>
      <c r="H16" s="70"/>
      <c r="I16" s="70"/>
      <c r="K16" s="87" t="s">
        <v>5</v>
      </c>
      <c r="L16" s="88"/>
      <c r="M16" s="89"/>
      <c r="N16" s="90"/>
      <c r="O16" s="67"/>
      <c r="P16" s="67"/>
      <c r="Q16" s="67"/>
      <c r="R16" s="70"/>
      <c r="S16" s="70"/>
    </row>
    <row r="17" spans="1:19" ht="13.8" thickBot="1" x14ac:dyDescent="0.3">
      <c r="A17" s="91" t="s">
        <v>6</v>
      </c>
      <c r="B17" s="92"/>
      <c r="C17" s="93"/>
      <c r="D17" s="94"/>
      <c r="H17" s="70"/>
      <c r="I17" s="70"/>
      <c r="K17" s="91"/>
      <c r="L17" s="95"/>
      <c r="M17" s="93"/>
      <c r="N17" s="94"/>
      <c r="O17" s="67"/>
      <c r="P17" s="67"/>
      <c r="Q17" s="67"/>
      <c r="R17" s="70"/>
      <c r="S17" s="70"/>
    </row>
    <row r="18" spans="1:19" ht="14.4" thickTop="1" thickBot="1" x14ac:dyDescent="0.3">
      <c r="A18" s="91" t="s">
        <v>2</v>
      </c>
      <c r="B18" s="92"/>
      <c r="C18" s="96">
        <f>((2.71828183^(-C5*(2.71828183^(-C6*C13)-2.71828183^(-C6*C11))))*100)</f>
        <v>15.364565813288856</v>
      </c>
      <c r="D18" s="97">
        <f>((2.71828183^(-D5*(2.71828183^(-D6*C13)-2.71828183^(-D6*C11))))*100)</f>
        <v>36.562111217898909</v>
      </c>
      <c r="H18" s="70"/>
      <c r="I18" s="70"/>
      <c r="K18" s="91"/>
      <c r="L18" s="95"/>
      <c r="M18" s="96">
        <f>((2.71828183^(-M5*(2.71828183^(-M6*M13)-2.71828183^(-M6*M11))))*100)</f>
        <v>99.205530660974262</v>
      </c>
      <c r="N18" s="97">
        <f>((2.71828183^(-N5*(2.71828183^(-N6*M13)-2.71828183^(-N6*M11))))*100)</f>
        <v>99.644922731163632</v>
      </c>
      <c r="O18" s="98" t="s">
        <v>23</v>
      </c>
      <c r="P18" s="99" t="s">
        <v>21</v>
      </c>
      <c r="Q18" s="100" t="s">
        <v>22</v>
      </c>
      <c r="R18" s="70"/>
      <c r="S18" s="70"/>
    </row>
    <row r="19" spans="1:19" ht="18.600000000000001" thickTop="1" thickBot="1" x14ac:dyDescent="0.35">
      <c r="A19" s="91" t="s">
        <v>57</v>
      </c>
      <c r="B19" s="92"/>
      <c r="C19" s="101">
        <f>ROUND(C18,2)</f>
        <v>15.36</v>
      </c>
      <c r="D19" s="69">
        <f>ROUND(D18,2)</f>
        <v>36.56</v>
      </c>
      <c r="H19" s="70"/>
      <c r="I19" s="70"/>
      <c r="K19" s="91" t="s">
        <v>69</v>
      </c>
      <c r="L19" s="95"/>
      <c r="M19" s="101">
        <f>ROUND(((LN(((LN(M13*0.01))/-M5)+2.71828183^(-M6*M11)))/-M6),2)</f>
        <v>80</v>
      </c>
      <c r="N19" s="69">
        <f>ROUND(((LN(((LN(N13*0.01))/-N5)+2.71828183^(-N6*N11)))/-N6),2)</f>
        <v>80</v>
      </c>
      <c r="O19" s="102" t="s">
        <v>24</v>
      </c>
      <c r="P19" s="68">
        <f>IF(M19=0,M9,ROUND(((((2.71828183^(LN(2.71828183*Q3)-Q4*2.71828183^(-Q5*M19)))))),2))</f>
        <v>7.3</v>
      </c>
      <c r="Q19" s="103">
        <f>IF(N19=0,N9,ROUND(((((2.71828183^(LN(2.71828183*Q23)-Q24*2.71828183^(-Q25*N19)))))),2))</f>
        <v>8.76</v>
      </c>
      <c r="R19" s="70"/>
      <c r="S19" s="70"/>
    </row>
    <row r="20" spans="1:19" ht="13.8" thickTop="1" x14ac:dyDescent="0.25">
      <c r="A20" s="22"/>
      <c r="B20" s="23"/>
      <c r="C20" s="35"/>
      <c r="D20" s="36"/>
      <c r="H20" s="70"/>
      <c r="I20" s="70"/>
      <c r="K20" s="22"/>
      <c r="L20" s="8"/>
      <c r="M20" s="35"/>
      <c r="N20" s="36"/>
      <c r="O20" s="67"/>
      <c r="P20" s="104"/>
      <c r="Q20" s="104"/>
      <c r="R20" s="70"/>
      <c r="S20" s="70"/>
    </row>
    <row r="21" spans="1:19" x14ac:dyDescent="0.25">
      <c r="A21" s="105" t="s">
        <v>3</v>
      </c>
      <c r="B21" s="106"/>
      <c r="C21" s="107"/>
      <c r="D21" s="36"/>
      <c r="H21" s="70"/>
      <c r="I21" s="70"/>
      <c r="K21" s="105"/>
      <c r="L21" s="108"/>
      <c r="M21" s="107"/>
      <c r="N21" s="36"/>
      <c r="O21" s="67"/>
      <c r="P21" s="67"/>
      <c r="Q21" s="27"/>
      <c r="R21" s="70"/>
      <c r="S21" s="70"/>
    </row>
    <row r="22" spans="1:19" x14ac:dyDescent="0.25">
      <c r="A22" s="105" t="s">
        <v>4</v>
      </c>
      <c r="B22" s="106"/>
      <c r="C22" s="109">
        <f>((2.71828183^(-C5*(2.71828183^(-C6*(C11+1))-2.71828183^(-C6*(C11-0)))))*100)</f>
        <v>99.972285351350251</v>
      </c>
      <c r="D22" s="97">
        <f>((2.71828183^(-D5*(2.71828183^(-D6*(C11+1))-2.71828183^(-D6*(C11-0)))))*100)</f>
        <v>99.987977795875466</v>
      </c>
      <c r="E22" s="7" t="s">
        <v>87</v>
      </c>
      <c r="F22" s="8"/>
      <c r="G22" s="9">
        <f>(D13-D12)</f>
        <v>20</v>
      </c>
      <c r="H22" s="10">
        <f>(-D5*D6)*2.71828183^((-D6*(D12+0*G22))-D5*2.71828183^(-D6*(D12+0*G22)))</f>
        <v>1.3170723859805649E-2</v>
      </c>
      <c r="I22" s="10">
        <f>(D12+0*G22)</f>
        <v>60</v>
      </c>
      <c r="K22" s="105"/>
      <c r="L22" s="108"/>
      <c r="M22" s="109">
        <f>((2.71828183^(-M5*(2.71828183^(-M6*(M11+1))-2.71828183^(-M6*(M11-0)))))*100)</f>
        <v>99.972285351350251</v>
      </c>
      <c r="N22" s="97">
        <f>((2.71828183^(-N5*(2.71828183^(-N6*(M11+1))-2.71828183^(-N6*(M11-0)))))*100)</f>
        <v>99.987977795875466</v>
      </c>
      <c r="O22" s="7" t="s">
        <v>87</v>
      </c>
      <c r="P22" s="8"/>
      <c r="Q22" s="9">
        <f>(N19-N33)</f>
        <v>20</v>
      </c>
      <c r="R22" s="10">
        <f>(-N5*N6)*2.71828183^((-N6*(N33+0*Q22))-N5*2.71828183^(-N6*(N33+0*Q22)))</f>
        <v>1.3170723859805649E-2</v>
      </c>
      <c r="S22" s="10">
        <f>(N33+0*Q22)</f>
        <v>60</v>
      </c>
    </row>
    <row r="23" spans="1:19" ht="17.399999999999999" x14ac:dyDescent="0.3">
      <c r="A23" s="105" t="s">
        <v>58</v>
      </c>
      <c r="B23" s="106"/>
      <c r="C23" s="110">
        <f>ROUND(C22,3)</f>
        <v>99.971999999999994</v>
      </c>
      <c r="D23" s="111">
        <f>ROUND(D22,3)</f>
        <v>99.988</v>
      </c>
      <c r="E23" s="14" t="s">
        <v>46</v>
      </c>
      <c r="F23" s="14"/>
      <c r="G23" s="15">
        <v>44.509700000000002</v>
      </c>
      <c r="H23" s="10">
        <f>(-D5*D6)*2.71828183^((-D6*(D12+0.1*G22))-D5*2.71828183^(-D6*(D12+0.1*G22)))</f>
        <v>1.4993645081328808E-2</v>
      </c>
      <c r="I23" s="10">
        <f>(D12+0.1*G22)</f>
        <v>62</v>
      </c>
      <c r="K23" s="105" t="s">
        <v>70</v>
      </c>
      <c r="L23" s="108"/>
      <c r="M23" s="110">
        <f>ROUND(M22,3)</f>
        <v>99.971999999999994</v>
      </c>
      <c r="N23" s="111">
        <f>ROUND(N22,3)</f>
        <v>99.988</v>
      </c>
      <c r="O23" s="14" t="s">
        <v>46</v>
      </c>
      <c r="P23" s="14"/>
      <c r="Q23" s="15">
        <f t="shared" ref="Q23:Q25" si="3">G23</f>
        <v>44.509700000000002</v>
      </c>
      <c r="R23" s="10">
        <f>(-N5*N6)*2.71828183^((-N6*(N33+0.1*Q22))-N5*2.71828183^(-N6*(N33+0.1*Q22)))</f>
        <v>1.4993645081328808E-2</v>
      </c>
      <c r="S23" s="10">
        <f>(N33+0.1*Q22)</f>
        <v>62</v>
      </c>
    </row>
    <row r="24" spans="1:19" x14ac:dyDescent="0.25">
      <c r="A24" s="112" t="s">
        <v>59</v>
      </c>
      <c r="B24" s="113"/>
      <c r="C24" s="35"/>
      <c r="D24" s="36"/>
      <c r="E24" s="15" t="s">
        <v>84</v>
      </c>
      <c r="F24" s="20" t="s">
        <v>48</v>
      </c>
      <c r="G24" s="15">
        <v>0.45176427000000002</v>
      </c>
      <c r="H24" s="10">
        <f>(-D5*D6)*2.71828183^((-D6*(D12+0.2*G22))-D5*2.71828183^(-D6*(D12+0.2*G22)))</f>
        <v>1.6963105978538302E-2</v>
      </c>
      <c r="I24" s="10">
        <f>(D12+0.2*G22)</f>
        <v>64</v>
      </c>
      <c r="K24" s="112" t="s">
        <v>59</v>
      </c>
      <c r="L24" s="114"/>
      <c r="M24" s="35"/>
      <c r="N24" s="36"/>
      <c r="O24" s="15" t="s">
        <v>84</v>
      </c>
      <c r="P24" s="20" t="s">
        <v>48</v>
      </c>
      <c r="Q24" s="15">
        <f t="shared" si="3"/>
        <v>0.45176427000000002</v>
      </c>
      <c r="R24" s="10">
        <f>(-N5*N6)*2.71828183^((-N6*(N33+0.2*Q22))-N5*2.71828183^(-N6*(N33+0.2*Q22)))</f>
        <v>1.6963105978538302E-2</v>
      </c>
      <c r="S24" s="10">
        <f>(N33+0.2*Q22)</f>
        <v>64</v>
      </c>
    </row>
    <row r="25" spans="1:19" x14ac:dyDescent="0.25">
      <c r="A25" s="22"/>
      <c r="B25" s="23"/>
      <c r="C25" s="109">
        <f>(2.71828183^(-C5*((2.71828183^(-C6*C14))-(2.71828183^(-C6*C13)))))</f>
        <v>0.10443590538801084</v>
      </c>
      <c r="D25" s="97">
        <f>(2.71828183^(-D5*((2.71828183^(-D6*C14))-(2.71828183^(-D6*C13)))))</f>
        <v>0.27669753245879264</v>
      </c>
      <c r="E25" s="15" t="s">
        <v>85</v>
      </c>
      <c r="F25" s="15" t="s">
        <v>47</v>
      </c>
      <c r="G25" s="15">
        <v>-2.1998230000000001E-2</v>
      </c>
      <c r="H25" s="10">
        <f>(-D5*D6)*2.71828183^((-D6*(D12+0.3*G22))-D5*2.71828183^(-D6*(D12+0.3*G22)))</f>
        <v>1.9051172148777766E-2</v>
      </c>
      <c r="I25" s="10">
        <f>(D12+0.3*G22)</f>
        <v>66</v>
      </c>
      <c r="K25" s="22"/>
      <c r="L25" s="8"/>
      <c r="M25" s="109">
        <f>(2.71828183^(-M5*((2.71828183^(-M6*M14))-(2.71828183^(-M6*M13)))))</f>
        <v>1.0036619927361317</v>
      </c>
      <c r="N25" s="97">
        <f>(2.71828183^(-N5*((2.71828183^(-N6*M14))-(2.71828183^(-N6*M13)))))</f>
        <v>1.0016514640183609</v>
      </c>
      <c r="O25" s="15" t="s">
        <v>85</v>
      </c>
      <c r="P25" s="15" t="s">
        <v>47</v>
      </c>
      <c r="Q25" s="15">
        <f t="shared" si="3"/>
        <v>-2.1998230000000001E-2</v>
      </c>
      <c r="R25" s="10">
        <f>(-N5*N6)*2.71828183^((-N6*(N33+0.3*Q22))-N5*2.71828183^(-N6*(N33+0.3*Q22)))</f>
        <v>1.9051172148777766E-2</v>
      </c>
      <c r="S25" s="10">
        <f>(N33+0.3*Q22)</f>
        <v>66</v>
      </c>
    </row>
    <row r="26" spans="1:19" x14ac:dyDescent="0.25">
      <c r="A26" s="115" t="s">
        <v>6</v>
      </c>
      <c r="B26" s="23"/>
      <c r="C26" s="109">
        <f>(2.71828183^(-C5*(2.71828183^(-C6*C12)-1)))</f>
        <v>0.68185167026425897</v>
      </c>
      <c r="D26" s="97">
        <f>(2.71828183^(-D5*(2.71828183^(-D6*C12)-1)))</f>
        <v>0.8242851735124519</v>
      </c>
      <c r="E26" s="27"/>
      <c r="F26" s="28"/>
      <c r="G26" s="28"/>
      <c r="H26" s="10">
        <f>(-D5*D6)*2.71828183^((-D6*(D12+0.4*G22))-D5*2.71828183^(-D6*(D12+0.4*G22)))</f>
        <v>2.1212292682886168E-2</v>
      </c>
      <c r="I26" s="10">
        <f>(D12+0.4*G22)</f>
        <v>68</v>
      </c>
      <c r="K26" s="115"/>
      <c r="L26" s="8"/>
      <c r="M26" s="109">
        <f>(2.71828183^(-M5*(2.71828183^(-M6*M12)-1)))</f>
        <v>0.62877008593349382</v>
      </c>
      <c r="N26" s="97">
        <f>(2.71828183^(-N5*(2.71828183^(-N6*M12)-1)))</f>
        <v>0.78987087270138212</v>
      </c>
      <c r="O26" s="27"/>
      <c r="P26" s="28"/>
      <c r="Q26" s="28"/>
      <c r="R26" s="10">
        <f>(-N5*N6)*2.71828183^((-N6*(N33+0.4*Q22))-N5*2.71828183^(-N6*(N33+0.4*Q22)))</f>
        <v>2.1212292682886168E-2</v>
      </c>
      <c r="S26" s="10">
        <f>(N33+0.4*Q22)</f>
        <v>68</v>
      </c>
    </row>
    <row r="27" spans="1:19" ht="13.8" thickBot="1" x14ac:dyDescent="0.3">
      <c r="A27" s="115" t="s">
        <v>60</v>
      </c>
      <c r="B27" s="116"/>
      <c r="C27" s="109">
        <f>(2.71828183^(-C5*(2.71828183^(-C6*C13)-1)))</f>
        <v>0.15364565813288855</v>
      </c>
      <c r="D27" s="97">
        <f>(2.71828183^(-D5*(2.71828183^(-D6*C13)-1)))</f>
        <v>0.36562111217898907</v>
      </c>
      <c r="E27" s="27"/>
      <c r="F27" s="28"/>
      <c r="G27" s="28"/>
      <c r="H27" s="10">
        <f>(-D5*D6)*2.71828183^((-D6*(D12+0.5*G22))-D5*2.71828183^(-D6*(D12+0.5*G22)))</f>
        <v>2.3379375276794526E-2</v>
      </c>
      <c r="I27" s="10">
        <f>(D12+0.5*G22)</f>
        <v>70</v>
      </c>
      <c r="K27" s="115"/>
      <c r="L27" s="117"/>
      <c r="M27" s="109">
        <f>(2.71828183^(-M5*(2.71828183^(-M6*M13)-1)))</f>
        <v>0.99205530660974262</v>
      </c>
      <c r="N27" s="97">
        <f>(2.71828183^(-N5*(2.71828183^(-N6*M13)-1)))</f>
        <v>0.99644922731163632</v>
      </c>
      <c r="O27" s="67"/>
      <c r="P27" s="67"/>
      <c r="Q27" s="27"/>
      <c r="R27" s="10">
        <f>(-N5*N6)*2.71828183^((-N6*(N33+0.5*Q22))-N5*2.71828183^(-N6*(N33+0.5*Q22)))</f>
        <v>2.3379375276794526E-2</v>
      </c>
      <c r="S27" s="10">
        <f>(N33+0.5*Q22)</f>
        <v>70</v>
      </c>
    </row>
    <row r="28" spans="1:19" ht="14.4" thickTop="1" thickBot="1" x14ac:dyDescent="0.3">
      <c r="A28" s="115" t="s">
        <v>61</v>
      </c>
      <c r="B28" s="116"/>
      <c r="C28" s="109">
        <f>(2.71828183^(-C5*(2.71828183^(-C6*C11)-1)))</f>
        <v>1</v>
      </c>
      <c r="D28" s="97">
        <f>(2.71828183^(-D5*(2.71828183^(-D6*C11)-1)))</f>
        <v>1</v>
      </c>
      <c r="E28" s="67"/>
      <c r="F28" s="67"/>
      <c r="G28" s="27"/>
      <c r="H28" s="10">
        <f>(-D5*D6)*2.71828183^((-D6*(D12+0.6*G22))-D5*2.71828183^(-D6*(D12+0.6*G22)))</f>
        <v>2.5460539887494537E-2</v>
      </c>
      <c r="I28" s="10">
        <f>(D12+0.6*G22)</f>
        <v>72</v>
      </c>
      <c r="K28" s="115"/>
      <c r="L28" s="117"/>
      <c r="M28" s="109">
        <f>(2.71828183^(-M5*(2.71828183^(-M6*M11)-1)))</f>
        <v>1</v>
      </c>
      <c r="N28" s="97">
        <f>(2.71828183^(-N5*(2.71828183^(-N6*M11)-1)))</f>
        <v>1</v>
      </c>
      <c r="O28" s="98" t="s">
        <v>23</v>
      </c>
      <c r="P28" s="99" t="s">
        <v>21</v>
      </c>
      <c r="Q28" s="100" t="s">
        <v>22</v>
      </c>
      <c r="R28" s="10">
        <f>(-N5*N6)*2.71828183^((-N6*(N33+0.6*Q22))-N5*2.71828183^(-N6*(N33+0.6*Q22)))</f>
        <v>2.5460539887494537E-2</v>
      </c>
      <c r="S28" s="10">
        <f>(N33+0.6*Q22)</f>
        <v>72</v>
      </c>
    </row>
    <row r="29" spans="1:19" ht="18.600000000000001" thickTop="1" thickBot="1" x14ac:dyDescent="0.35">
      <c r="A29" s="115" t="s">
        <v>62</v>
      </c>
      <c r="B29" s="116"/>
      <c r="C29" s="118">
        <f>ROUND((C25*100),2)</f>
        <v>10.44</v>
      </c>
      <c r="D29" s="119">
        <f>ROUND((D25*100),2)</f>
        <v>27.67</v>
      </c>
      <c r="E29" s="67"/>
      <c r="F29" s="67"/>
      <c r="G29" s="27"/>
      <c r="H29" s="10">
        <f>(-D5*D6)*2.71828183^((-D6*(D12+0.7*G22))-D5*2.71828183^(-D6*(D12+0.7*G22)))</f>
        <v>2.7337613284467054E-2</v>
      </c>
      <c r="I29" s="10">
        <f>(D12+0.7*G22)</f>
        <v>74</v>
      </c>
      <c r="K29" s="115" t="s">
        <v>71</v>
      </c>
      <c r="L29" s="117"/>
      <c r="M29" s="118">
        <f>ROUND(((LN((LN(0.01*M14)/-M5)+2.71828183^(-M6*M19))/-M6)),2)</f>
        <v>90</v>
      </c>
      <c r="N29" s="119">
        <f>ROUND(((LN((LN(0.01*N14)/-N5)+2.71828183^(-N6*N19))/-N6)),2)</f>
        <v>90</v>
      </c>
      <c r="O29" s="102" t="s">
        <v>24</v>
      </c>
      <c r="P29" s="76">
        <f>IF(M29=0,M9,ROUND(((((2.71828183^(LN(2.71828183*Q3)-Q4*2.71828183^(-Q5*M29)))))),2))</f>
        <v>4.2699999999999996</v>
      </c>
      <c r="Q29" s="120">
        <f>IF(N29=0,N9,ROUND(((((2.71828183^(LN(2.71828183*Q23)-Q24*2.71828183^(-Q25*N29)))))),2))</f>
        <v>4.59</v>
      </c>
      <c r="R29" s="10">
        <f>(-N5*N6)*2.71828183^((-N6*(N33+0.7*Q22))-N5*2.71828183^(-N6*(N33+0.7*Q22)))</f>
        <v>2.7337613284467054E-2</v>
      </c>
      <c r="S29" s="10">
        <f>(N33+0.7*Q22)</f>
        <v>74</v>
      </c>
    </row>
    <row r="30" spans="1:19" ht="13.8" thickTop="1" x14ac:dyDescent="0.25">
      <c r="A30" s="22"/>
      <c r="B30" s="23"/>
      <c r="C30" s="109">
        <f>((C26-C27)/(C28-C27))</f>
        <v>0.6240955897574938</v>
      </c>
      <c r="D30" s="97">
        <f>((D26-D27)/(D28-D27))</f>
        <v>0.72301280849509331</v>
      </c>
      <c r="E30" s="67"/>
      <c r="F30" s="67"/>
      <c r="G30" s="27"/>
      <c r="H30" s="10">
        <f>(-D5*D6)*2.71828183^((-D6*(D12+0.8*G22))-D5*2.71828183^(-D6*(D12+0.8*G22)))</f>
        <v>2.8867843021767283E-2</v>
      </c>
      <c r="I30" s="10">
        <f>(D12+0.8*G22)</f>
        <v>76</v>
      </c>
      <c r="K30" s="22"/>
      <c r="L30" s="8"/>
      <c r="M30" s="109">
        <f>((M26-M27)/(M28-M27))</f>
        <v>-45.726776708808828</v>
      </c>
      <c r="N30" s="97">
        <f>((N26-N27)/(N28-N27))</f>
        <v>-58.178422766187481</v>
      </c>
      <c r="O30" s="67"/>
      <c r="P30" s="104"/>
      <c r="Q30" s="104"/>
      <c r="R30" s="10">
        <f>(-N5*N6)*2.71828183^((-N6*(N33+0.8*Q22))-N5*2.71828183^(-N6*(N33+0.8*Q22)))</f>
        <v>2.8867843021767283E-2</v>
      </c>
      <c r="S30" s="10">
        <f>(N33+0.8*Q22)</f>
        <v>76</v>
      </c>
    </row>
    <row r="31" spans="1:19" ht="13.8" thickBot="1" x14ac:dyDescent="0.3">
      <c r="A31" s="121" t="s">
        <v>6</v>
      </c>
      <c r="B31" s="122"/>
      <c r="C31" s="109"/>
      <c r="D31" s="97"/>
      <c r="E31" s="67"/>
      <c r="F31" s="67"/>
      <c r="G31" s="27"/>
      <c r="H31" s="10">
        <f>(-D5*D6)*2.71828183^((-D6*(D12+0.9*G22))-D5*2.71828183^(-D6*(D12+0.9*G22)))</f>
        <v>2.9890636897950455E-2</v>
      </c>
      <c r="I31" s="10">
        <f>(D12+0.9*G22)</f>
        <v>78</v>
      </c>
      <c r="K31" s="121"/>
      <c r="L31" s="123"/>
      <c r="M31" s="109"/>
      <c r="N31" s="97"/>
      <c r="O31" s="67"/>
      <c r="P31" s="67"/>
      <c r="Q31" s="27"/>
      <c r="R31" s="10">
        <f>(-N5*N6)*2.71828183^((-N6*(N33+0.9*Q22))-N5*2.71828183^(-N6*(N33+0.9*Q22)))</f>
        <v>2.9890636897950455E-2</v>
      </c>
      <c r="S31" s="10">
        <f>(N33+0.9*Q22)</f>
        <v>78</v>
      </c>
    </row>
    <row r="32" spans="1:19" ht="14.4" thickTop="1" thickBot="1" x14ac:dyDescent="0.3">
      <c r="A32" s="121" t="s">
        <v>60</v>
      </c>
      <c r="B32" s="122"/>
      <c r="C32" s="35"/>
      <c r="D32" s="36"/>
      <c r="E32" s="67"/>
      <c r="F32" s="67"/>
      <c r="G32" s="27"/>
      <c r="H32" s="10">
        <f>(-D5*D6)*2.71828183^((-D6*(D12+1*G22))-D5*2.71828183^(-D6*(D12+1*G22)))</f>
        <v>3.0241147231260489E-2</v>
      </c>
      <c r="I32" s="10">
        <f>(D12+1*G22)</f>
        <v>80</v>
      </c>
      <c r="K32" s="121"/>
      <c r="L32" s="123"/>
      <c r="M32" s="35"/>
      <c r="N32" s="36"/>
      <c r="O32" s="98" t="s">
        <v>23</v>
      </c>
      <c r="P32" s="99" t="s">
        <v>21</v>
      </c>
      <c r="Q32" s="100" t="s">
        <v>22</v>
      </c>
      <c r="R32" s="10">
        <f>(-N5*N6)*2.71828183^((-N6*(N33+1*Q22))-N5*2.71828183^(-N6*(N33+1*Q22)))</f>
        <v>3.0241147231260489E-2</v>
      </c>
      <c r="S32" s="10">
        <f>(N33+1*Q22)</f>
        <v>80</v>
      </c>
    </row>
    <row r="33" spans="1:18" ht="18.600000000000001" thickTop="1" thickBot="1" x14ac:dyDescent="0.35">
      <c r="A33" s="121" t="s">
        <v>63</v>
      </c>
      <c r="B33" s="124"/>
      <c r="C33" s="125">
        <f>ROUND((100*C30),2)</f>
        <v>62.41</v>
      </c>
      <c r="D33" s="61">
        <f>ROUND((100*D30),2)</f>
        <v>72.3</v>
      </c>
      <c r="E33" s="67"/>
      <c r="F33" s="67"/>
      <c r="G33" s="27"/>
      <c r="K33" s="121" t="s">
        <v>72</v>
      </c>
      <c r="L33" s="124"/>
      <c r="M33" s="126">
        <f>ROUND(((LN((LN((M48-M47)*0.01*M12+M47))/-M5+1))/-M6),2)</f>
        <v>60</v>
      </c>
      <c r="N33" s="61">
        <f>ROUND(((LN((LN((N48-N47)*0.01*N12+N47))/-N5+1))/-N6),2)</f>
        <v>60</v>
      </c>
      <c r="O33" s="127" t="s">
        <v>51</v>
      </c>
      <c r="P33" s="60">
        <f>IF(M33=0,M9,ROUND(((R2*S2)+(R3*S3)+(R4*S4)+(R5*S5)+(R6*S6)+(R7*S7)+(R8*S8)+(R9*S9)+(R10*S10)+(R11*S11)+(R12*S12))/SUM(R2:R12)-M33,2))</f>
        <v>10.25</v>
      </c>
      <c r="Q33" s="60">
        <f>IF(N33=0,N9,ROUND(((R22*S22)+(R23*S23)+(R24*S24)+(R25*S25)+(R26*S26)+(R27*S27)+(R28*S28)+(R29*S29)+(R30*S30)+(R31*S31)+(R32*S32))/SUM(R22:R32)-N33,2))</f>
        <v>11.61</v>
      </c>
      <c r="R33" s="161"/>
    </row>
    <row r="34" spans="1:18" ht="14.4" thickTop="1" thickBot="1" x14ac:dyDescent="0.3">
      <c r="A34" s="129" t="s">
        <v>64</v>
      </c>
      <c r="B34" s="38"/>
      <c r="C34" s="130"/>
      <c r="D34" s="131"/>
      <c r="E34" s="67"/>
      <c r="F34" s="67"/>
      <c r="G34" s="27"/>
      <c r="K34" s="129"/>
      <c r="L34" s="38"/>
      <c r="M34" s="130"/>
      <c r="N34" s="131"/>
      <c r="O34" s="67"/>
      <c r="P34" s="104"/>
      <c r="Q34" s="104"/>
    </row>
    <row r="35" spans="1:18" ht="13.8" thickTop="1" x14ac:dyDescent="0.25">
      <c r="A35" s="132" t="s">
        <v>16</v>
      </c>
      <c r="B35" s="133"/>
      <c r="C35" s="134"/>
      <c r="D35" s="135"/>
      <c r="E35" s="136"/>
      <c r="F35" s="67"/>
      <c r="G35" s="27"/>
      <c r="K35" s="132" t="s">
        <v>16</v>
      </c>
      <c r="L35" s="133"/>
      <c r="M35" s="134"/>
      <c r="N35" s="135"/>
      <c r="O35" s="136"/>
      <c r="P35" s="67"/>
      <c r="Q35" s="67"/>
    </row>
    <row r="36" spans="1:18" ht="17.399999999999999" x14ac:dyDescent="0.3">
      <c r="A36" s="137" t="s">
        <v>14</v>
      </c>
      <c r="B36" s="138"/>
      <c r="C36" s="211">
        <v>15.36</v>
      </c>
      <c r="D36" s="52">
        <f>(C36)</f>
        <v>15.36</v>
      </c>
      <c r="E36" s="71"/>
      <c r="F36" s="67"/>
      <c r="G36" s="27"/>
      <c r="K36" s="137" t="s">
        <v>14</v>
      </c>
      <c r="L36" s="138"/>
      <c r="M36" s="211">
        <v>15.36</v>
      </c>
      <c r="N36" s="212">
        <v>15.36</v>
      </c>
      <c r="O36" s="71"/>
      <c r="P36" s="67"/>
      <c r="Q36" s="139"/>
    </row>
    <row r="37" spans="1:18" ht="18" thickBot="1" x14ac:dyDescent="0.35">
      <c r="A37" s="140" t="s">
        <v>13</v>
      </c>
      <c r="B37" s="51"/>
      <c r="C37" s="203">
        <v>0</v>
      </c>
      <c r="D37" s="141">
        <f>(C37)</f>
        <v>0</v>
      </c>
      <c r="E37" s="67"/>
      <c r="F37" s="67"/>
      <c r="G37" s="27"/>
      <c r="K37" s="140" t="s">
        <v>13</v>
      </c>
      <c r="L37" s="142"/>
      <c r="M37" s="203">
        <v>0</v>
      </c>
      <c r="N37" s="204">
        <v>0</v>
      </c>
      <c r="O37" s="67"/>
      <c r="P37" s="67"/>
      <c r="Q37" s="27"/>
    </row>
    <row r="38" spans="1:18" ht="14.4" thickTop="1" thickBot="1" x14ac:dyDescent="0.3">
      <c r="A38" s="143"/>
      <c r="B38" s="144"/>
      <c r="C38" s="145">
        <f>((LN(((LN(C36*0.01))/-C5)+2.71828183^(-C6*C37)))/-C6)</f>
        <v>80.002004155108779</v>
      </c>
      <c r="D38" s="146">
        <f>((LN(((LN(C36*0.01))/-D5)+2.71828183^(-D6*D37)))/-D6)</f>
        <v>87.553838062121045</v>
      </c>
      <c r="E38" s="98" t="s">
        <v>23</v>
      </c>
      <c r="F38" s="99" t="s">
        <v>21</v>
      </c>
      <c r="G38" s="100" t="s">
        <v>22</v>
      </c>
      <c r="K38" s="143"/>
      <c r="L38" s="144"/>
      <c r="M38" s="145">
        <f>((LN(((LN(M36*0.01))/-M5)+2.71828183^(-M6*M37)))/-M6)</f>
        <v>80.002004155108779</v>
      </c>
      <c r="N38" s="146">
        <f>((LN(((LN(N36*0.01))/-N5)+2.71828183^(-N6*N37)))/-N6)</f>
        <v>87.553838062121045</v>
      </c>
      <c r="O38" s="98" t="s">
        <v>23</v>
      </c>
      <c r="P38" s="99" t="s">
        <v>21</v>
      </c>
      <c r="Q38" s="100" t="s">
        <v>22</v>
      </c>
    </row>
    <row r="39" spans="1:18" ht="18" thickTop="1" x14ac:dyDescent="0.3">
      <c r="A39" s="91" t="s">
        <v>15</v>
      </c>
      <c r="B39" s="147"/>
      <c r="C39" s="101">
        <f>ROUND(C38,2)</f>
        <v>80</v>
      </c>
      <c r="D39" s="69">
        <f>ROUND(D38,2)</f>
        <v>87.55</v>
      </c>
      <c r="E39" s="53" t="s">
        <v>24</v>
      </c>
      <c r="F39" s="68">
        <f>IF(C39=0,C9,ROUND(((((2.71828183^(LN(2.71828183*G3)-G4*2.71828183^(-G5*C39)))))),2))</f>
        <v>7.3</v>
      </c>
      <c r="G39" s="103">
        <f>IF(D39=0,D9,ROUND(((((2.71828183^(LN(2.71828183*G23)-G24*2.71828183^(-G25*D39)))))),2))</f>
        <v>5.45</v>
      </c>
      <c r="K39" s="91" t="s">
        <v>15</v>
      </c>
      <c r="L39" s="147"/>
      <c r="M39" s="101">
        <f>ROUND(M38,2)</f>
        <v>80</v>
      </c>
      <c r="N39" s="69">
        <f>ROUND(N38,2)</f>
        <v>87.55</v>
      </c>
      <c r="O39" s="53" t="s">
        <v>24</v>
      </c>
      <c r="P39" s="68">
        <f>IF(M39=0,M9,ROUND(((((2.71828183^(LN(2.71828183*Q3)-Q4*2.71828183^(-Q5*M39)))))),2))</f>
        <v>7.3</v>
      </c>
      <c r="Q39" s="103">
        <f>IF(N39=0,N9,ROUND(((((2.71828183^(LN(2.71828183*Q23)-Q24*2.71828183^(-Q25*N39)))))),2))</f>
        <v>5.45</v>
      </c>
    </row>
    <row r="40" spans="1:18" ht="13.8" thickBot="1" x14ac:dyDescent="0.3">
      <c r="A40" s="148" t="s">
        <v>11</v>
      </c>
      <c r="B40" s="149"/>
      <c r="C40" s="150"/>
      <c r="D40" s="151"/>
      <c r="E40" s="53"/>
      <c r="F40" s="53"/>
      <c r="G40" s="152"/>
      <c r="K40" s="148" t="s">
        <v>11</v>
      </c>
      <c r="L40" s="149"/>
      <c r="M40" s="150"/>
      <c r="N40" s="151"/>
      <c r="R40" s="161"/>
    </row>
    <row r="41" spans="1:18" ht="14.4" thickTop="1" thickBot="1" x14ac:dyDescent="0.3">
      <c r="A41" s="155" t="s">
        <v>12</v>
      </c>
      <c r="B41" s="156"/>
      <c r="C41" s="156"/>
      <c r="D41" s="157"/>
      <c r="E41" s="158"/>
      <c r="F41" s="159"/>
      <c r="G41" s="160"/>
      <c r="K41" s="155" t="s">
        <v>12</v>
      </c>
      <c r="L41" s="84"/>
      <c r="M41" s="84"/>
      <c r="N41" s="84"/>
      <c r="O41" s="153"/>
      <c r="P41" s="154"/>
      <c r="Q41" s="154"/>
    </row>
    <row r="42" spans="1:18" ht="13.8" thickTop="1" x14ac:dyDescent="0.25">
      <c r="K42" s="82"/>
      <c r="L42" s="82"/>
      <c r="M42" s="82"/>
      <c r="N42" s="82"/>
      <c r="O42" s="53"/>
      <c r="P42" s="53"/>
      <c r="Q42" s="53"/>
    </row>
    <row r="43" spans="1:18" x14ac:dyDescent="0.25">
      <c r="K43" s="85"/>
      <c r="L43" s="85"/>
      <c r="M43" s="85"/>
      <c r="N43" s="85"/>
      <c r="O43" s="85"/>
      <c r="P43" s="27"/>
      <c r="Q43" s="27"/>
    </row>
    <row r="44" spans="1:18" x14ac:dyDescent="0.25">
      <c r="K44" s="169"/>
      <c r="L44" s="169"/>
      <c r="M44" s="169"/>
      <c r="N44" s="169"/>
      <c r="O44" s="169"/>
      <c r="P44" s="27"/>
      <c r="Q44" s="27"/>
    </row>
    <row r="45" spans="1:18" x14ac:dyDescent="0.25">
      <c r="K45" s="174"/>
      <c r="L45" s="174"/>
      <c r="M45" s="216"/>
      <c r="N45" s="216"/>
      <c r="O45" s="174"/>
    </row>
    <row r="46" spans="1:18" x14ac:dyDescent="0.25">
      <c r="K46" s="67"/>
      <c r="L46" s="67"/>
      <c r="M46" s="180" t="s">
        <v>25</v>
      </c>
      <c r="N46" s="180"/>
      <c r="O46" s="67"/>
    </row>
    <row r="47" spans="1:18" x14ac:dyDescent="0.25">
      <c r="K47" s="185"/>
      <c r="L47" s="185"/>
      <c r="M47" s="179">
        <f>(2.71828183^(-M5*(2.71828183^(-M6*M19)-1)))</f>
        <v>0.15364565813288855</v>
      </c>
      <c r="N47" s="179">
        <f>(2.71828183^(-N5*(2.71828183^(-N6*N19)-1)))</f>
        <v>0.36562111217898907</v>
      </c>
      <c r="P47" s="67"/>
      <c r="Q47" s="67"/>
    </row>
    <row r="48" spans="1:18" x14ac:dyDescent="0.25">
      <c r="K48" s="185"/>
      <c r="L48" s="185"/>
      <c r="M48" s="179">
        <f>(2.71828183^(-M5*(2.71828183^(-M6*M11)-1)))</f>
        <v>1</v>
      </c>
      <c r="N48" s="179">
        <f>(2.71828183^(-N5*(2.71828183^(-N6*N11)-1)))</f>
        <v>1</v>
      </c>
      <c r="P48" s="190"/>
      <c r="Q48" s="190"/>
    </row>
    <row r="49" spans="13:15" x14ac:dyDescent="0.25">
      <c r="M49" s="180"/>
      <c r="N49" s="179"/>
      <c r="O49" s="190"/>
    </row>
    <row r="50" spans="13:15" x14ac:dyDescent="0.25">
      <c r="N50" s="174"/>
      <c r="O50" s="174"/>
    </row>
  </sheetData>
  <sheetProtection algorithmName="SHA-512" hashValue="xeDhLTYgjNV1VQQJ00eH7TRhgpyl1HQXPoJ1qV+JoDG3nydVES3FlZMSlli518cV9eUOZrlzUopuvW+jyEOn1Q==" saltValue="migEXjrZ/JJnEkNnC2bYIg==" spinCount="100000" sheet="1" objects="1" scenarios="1"/>
  <phoneticPr fontId="2" type="noConversion"/>
  <dataValidations count="4">
    <dataValidation type="decimal" allowBlank="1" showInputMessage="1" showErrorMessage="1" sqref="C11 C36 C37 M11 N11 M12 N12 M13 N13 M14 N14 M36 N36 M37 N37" xr:uid="{ED3EF093-BCCD-4A23-8D90-30FC20F5B77F}">
      <formula1>0</formula1>
      <formula2>100</formula2>
    </dataValidation>
    <dataValidation type="decimal" allowBlank="1" showInputMessage="1" showErrorMessage="1" sqref="C12" xr:uid="{E2B09604-EBF1-4053-A79A-E17FC4AC92D1}">
      <formula1>C11</formula1>
      <formula2>C13</formula2>
    </dataValidation>
    <dataValidation type="decimal" allowBlank="1" showInputMessage="1" showErrorMessage="1" sqref="C13" xr:uid="{5BF06BCE-FD71-46D2-811B-0523DD13A5F5}">
      <formula1>C11</formula1>
      <formula2>100</formula2>
    </dataValidation>
    <dataValidation type="decimal" allowBlank="1" showInputMessage="1" showErrorMessage="1" sqref="C14" xr:uid="{DB2FF97B-E660-46D8-9DE3-8273E27A67B6}">
      <formula1>C13</formula1>
      <formula2>100</formula2>
    </dataValidation>
  </dataValidations>
  <pageMargins left="0.78740157499999996" right="0.78740157499999996" top="0.984251969" bottom="0.984251969" header="0.4921259845" footer="0.4921259845"/>
  <pageSetup paperSize="9" orientation="portrait" horizontalDpi="4294967293" verticalDpi="4294967293" r:id="rId1"/>
  <headerFooter alignWithMargins="0"/>
  <ignoredErrors>
    <ignoredError sqref="F12:G1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1"/>
  <sheetViews>
    <sheetView zoomScale="66" workbookViewId="0">
      <selection activeCell="J26" sqref="J26"/>
    </sheetView>
  </sheetViews>
  <sheetFormatPr baseColWidth="10" defaultRowHeight="13.2" x14ac:dyDescent="0.25"/>
  <cols>
    <col min="1" max="1" width="11.5546875" style="2"/>
    <col min="2" max="2" width="16.5546875" style="2" customWidth="1"/>
    <col min="3" max="3" width="14.21875" style="2" customWidth="1"/>
    <col min="4" max="4" width="15.109375" style="2" customWidth="1"/>
    <col min="5" max="5" width="18.77734375" style="2" customWidth="1"/>
    <col min="6" max="6" width="12.88671875" style="2" customWidth="1"/>
    <col min="7" max="9" width="11.5546875" style="2"/>
    <col min="10" max="10" width="35.33203125" style="2" customWidth="1"/>
    <col min="11" max="11" width="12.88671875" style="2" customWidth="1"/>
    <col min="12" max="12" width="60.33203125" style="2" customWidth="1"/>
    <col min="13" max="13" width="16" style="2" customWidth="1"/>
    <col min="14" max="14" width="11.5546875" style="2"/>
    <col min="15" max="15" width="17.5546875" style="2" customWidth="1"/>
    <col min="16" max="16" width="14.88671875" style="2" customWidth="1"/>
    <col min="17" max="16384" width="11.5546875" style="2"/>
  </cols>
  <sheetData>
    <row r="1" spans="1:19" ht="14.4" thickBot="1" x14ac:dyDescent="0.3">
      <c r="E1" s="3"/>
      <c r="O1" s="3"/>
    </row>
    <row r="2" spans="1:19" ht="14.4" thickTop="1" x14ac:dyDescent="0.25">
      <c r="A2" s="4" t="s">
        <v>81</v>
      </c>
      <c r="B2" s="5"/>
      <c r="C2" s="5"/>
      <c r="D2" s="6"/>
      <c r="E2" s="7" t="s">
        <v>86</v>
      </c>
      <c r="F2" s="8"/>
      <c r="G2" s="9">
        <f>(C13-C12)</f>
        <v>20</v>
      </c>
      <c r="H2" s="10">
        <f>(-C5*C6)*2.71828183^((-C6*(C12+0*G2))-C5*2.71828183^(-C6*(C12+0*G2)))</f>
        <v>1.3159791218782515E-2</v>
      </c>
      <c r="I2" s="10">
        <f>(C12+0*G2)</f>
        <v>60</v>
      </c>
      <c r="K2" s="4" t="s">
        <v>81</v>
      </c>
      <c r="L2" s="5"/>
      <c r="M2" s="5"/>
      <c r="N2" s="6"/>
      <c r="O2" s="7" t="s">
        <v>86</v>
      </c>
      <c r="P2" s="8"/>
      <c r="Q2" s="9">
        <f>(M19-M33)</f>
        <v>20</v>
      </c>
      <c r="R2" s="10">
        <f>(-M5*M6)*2.71828183^((-M6*(M33+0*Q2))-M5*2.71828183^(-M6*(M33+0*Q2)))</f>
        <v>1.3159791218782515E-2</v>
      </c>
      <c r="S2" s="10">
        <f>(M33+0*Q2)</f>
        <v>60</v>
      </c>
    </row>
    <row r="3" spans="1:19" ht="14.4" thickBot="1" x14ac:dyDescent="0.3">
      <c r="A3" s="11" t="s">
        <v>20</v>
      </c>
      <c r="B3" s="12"/>
      <c r="C3" s="12"/>
      <c r="D3" s="13"/>
      <c r="E3" s="14" t="s">
        <v>56</v>
      </c>
      <c r="F3" s="217"/>
      <c r="G3" s="15">
        <v>44.476599999999998</v>
      </c>
      <c r="H3" s="10">
        <f>(-C5*C6)*2.71828183^((-C6*(C12+0.1*G2))-C5*2.71828183^(-C6*(C12+0.1*G2)))</f>
        <v>1.4961141270211156E-2</v>
      </c>
      <c r="I3" s="10">
        <f>(C12+0.1*G2)</f>
        <v>62</v>
      </c>
      <c r="K3" s="11" t="s">
        <v>20</v>
      </c>
      <c r="L3" s="12"/>
      <c r="M3" s="12"/>
      <c r="N3" s="13"/>
      <c r="O3" s="14" t="s">
        <v>54</v>
      </c>
      <c r="P3" s="14"/>
      <c r="Q3" s="15">
        <f t="shared" ref="Q3:Q5" si="0">G3</f>
        <v>44.476599999999998</v>
      </c>
      <c r="R3" s="10">
        <f>(-M5*M6)*2.71828183^((-M6*(M33+0.1*Q2))-M5*2.71828183^(-M6*(M33+0.1*Q2)))</f>
        <v>1.4961141270211156E-2</v>
      </c>
      <c r="S3" s="10">
        <f>(M33+0.1*Q2)</f>
        <v>62</v>
      </c>
    </row>
    <row r="4" spans="1:19" ht="13.8" thickTop="1" x14ac:dyDescent="0.25">
      <c r="A4" s="16" t="s">
        <v>82</v>
      </c>
      <c r="B4" s="17"/>
      <c r="C4" s="213" t="s">
        <v>75</v>
      </c>
      <c r="D4" s="214" t="s">
        <v>76</v>
      </c>
      <c r="E4" s="15" t="s">
        <v>84</v>
      </c>
      <c r="F4" s="20" t="s">
        <v>48</v>
      </c>
      <c r="G4" s="15">
        <v>0.45804623999999999</v>
      </c>
      <c r="H4" s="10">
        <f>(-C5*C6)*2.71828183^((-C6*(C12+0.2*G2))-C5*2.71828183^(-C6*(C12+0.2*G2)))</f>
        <v>1.6904565001641107E-2</v>
      </c>
      <c r="I4" s="10">
        <f>(C12+0.2*G2)</f>
        <v>64</v>
      </c>
      <c r="K4" s="21" t="s">
        <v>83</v>
      </c>
      <c r="L4" s="17"/>
      <c r="M4" s="213" t="s">
        <v>75</v>
      </c>
      <c r="N4" s="218" t="s">
        <v>76</v>
      </c>
      <c r="O4" s="15" t="s">
        <v>84</v>
      </c>
      <c r="P4" s="20" t="s">
        <v>48</v>
      </c>
      <c r="Q4" s="15">
        <f t="shared" si="0"/>
        <v>0.45804623999999999</v>
      </c>
      <c r="R4" s="10">
        <f>(-M5*M6)*2.71828183^((-M6*(M33+0.2*Q2))-M5*2.71828183^(-M6*(M33+0.2*Q2)))</f>
        <v>1.6904565001641107E-2</v>
      </c>
      <c r="S4" s="10">
        <f>(M33+0.2*Q2)</f>
        <v>64</v>
      </c>
    </row>
    <row r="5" spans="1:19" x14ac:dyDescent="0.25">
      <c r="A5" s="22" t="s">
        <v>0</v>
      </c>
      <c r="B5" s="23"/>
      <c r="C5" s="24">
        <v>1.4737000000000001E-3</v>
      </c>
      <c r="D5" s="26">
        <v>7.9812999999999998E-4</v>
      </c>
      <c r="E5" s="15" t="s">
        <v>85</v>
      </c>
      <c r="F5" s="15" t="s">
        <v>47</v>
      </c>
      <c r="G5" s="15">
        <v>-2.1320470000000001E-2</v>
      </c>
      <c r="H5" s="10">
        <f>(-C5*C6)*2.71828183^((-C6*(C12+0.3*G2))-C5*2.71828183^(-C6*(C12+0.3*G2)))</f>
        <v>1.8962375378408568E-2</v>
      </c>
      <c r="I5" s="10">
        <f>(C12+0.3*G2)</f>
        <v>66</v>
      </c>
      <c r="K5" s="22" t="s">
        <v>0</v>
      </c>
      <c r="L5" s="23"/>
      <c r="M5" s="24">
        <f t="shared" ref="M5:N9" si="1">C5</f>
        <v>1.4737000000000001E-3</v>
      </c>
      <c r="N5" s="26">
        <f t="shared" si="1"/>
        <v>7.9812999999999998E-4</v>
      </c>
      <c r="O5" s="15" t="s">
        <v>85</v>
      </c>
      <c r="P5" s="15" t="s">
        <v>47</v>
      </c>
      <c r="Q5" s="15">
        <f t="shared" si="0"/>
        <v>-2.1320470000000001E-2</v>
      </c>
      <c r="R5" s="10">
        <f>(-M5*M6)*2.71828183^((-M6*(M33+0.3*Q2))-M5*2.71828183^(-M6*(M33+0.3*Q2)))</f>
        <v>1.8962375378408568E-2</v>
      </c>
      <c r="S5" s="10">
        <f>(M33+0.3*Q2)</f>
        <v>66</v>
      </c>
    </row>
    <row r="6" spans="1:19" x14ac:dyDescent="0.25">
      <c r="A6" s="22" t="s">
        <v>1</v>
      </c>
      <c r="B6" s="23"/>
      <c r="C6" s="24">
        <v>-8.1540924000000001E-2</v>
      </c>
      <c r="D6" s="26">
        <v>-8.4403879000000001E-2</v>
      </c>
      <c r="E6" s="27"/>
      <c r="F6" s="28"/>
      <c r="G6" s="28"/>
      <c r="H6" s="10">
        <f>(-C5*C6)*2.71828183^((-C6*(C12+0.4*G2))-C5*2.71828183^(-C6*(C12+0.4*G2)))</f>
        <v>2.1089820307052125E-2</v>
      </c>
      <c r="I6" s="10">
        <f>(C12+0.4*G2)</f>
        <v>68</v>
      </c>
      <c r="K6" s="22" t="s">
        <v>1</v>
      </c>
      <c r="L6" s="23"/>
      <c r="M6" s="24">
        <f t="shared" si="1"/>
        <v>-8.1540924000000001E-2</v>
      </c>
      <c r="N6" s="26">
        <f t="shared" si="1"/>
        <v>-8.4403879000000001E-2</v>
      </c>
      <c r="O6" s="27"/>
      <c r="P6" s="28"/>
      <c r="Q6" s="28"/>
      <c r="R6" s="10">
        <f>(-M5*M6)*2.71828183^((-M6*(M33+0.4*Q2))-M5*2.71828183^(-M6*(M33+0.4*Q2)))</f>
        <v>2.1089820307052125E-2</v>
      </c>
      <c r="S6" s="10">
        <f>(M33+0.4*Q2)</f>
        <v>68</v>
      </c>
    </row>
    <row r="7" spans="1:19" x14ac:dyDescent="0.25">
      <c r="A7" s="29" t="s">
        <v>18</v>
      </c>
      <c r="B7" s="30"/>
      <c r="C7" s="31">
        <v>79.959999999999994</v>
      </c>
      <c r="D7" s="32">
        <v>84.51</v>
      </c>
      <c r="H7" s="10">
        <f>(-C5*C6)*2.71828183^((-C6*(C12+0.5*G2))-C5*2.71828183^(-C6*(C12+0.5*G2)))</f>
        <v>2.322135209701021E-2</v>
      </c>
      <c r="I7" s="10">
        <f>(C12+0.5*G2)</f>
        <v>70</v>
      </c>
      <c r="K7" s="29" t="s">
        <v>18</v>
      </c>
      <c r="L7" s="30"/>
      <c r="M7" s="31">
        <f t="shared" si="1"/>
        <v>79.959999999999994</v>
      </c>
      <c r="N7" s="32">
        <f t="shared" si="1"/>
        <v>84.51</v>
      </c>
      <c r="R7" s="10">
        <f>(-M5*M6)*2.71828183^((-M6*(M33+0.5*Q2))-M5*2.71828183^(-M6*(M33+0.5*Q2)))</f>
        <v>2.322135209701021E-2</v>
      </c>
      <c r="S7" s="10">
        <f>(M33+0.5*Q2)</f>
        <v>70</v>
      </c>
    </row>
    <row r="8" spans="1:19" x14ac:dyDescent="0.25">
      <c r="A8" s="29" t="s">
        <v>80</v>
      </c>
      <c r="B8" s="23"/>
      <c r="C8" s="35">
        <v>0.99520092000000004</v>
      </c>
      <c r="D8" s="36">
        <v>0.99842142</v>
      </c>
      <c r="H8" s="10">
        <f>(-C5*C6)*2.71828183^((-C6*(C12+0.6*G2))-C5*2.71828183^(-C6*(C12+0.6*G2)))</f>
        <v>2.5267561711162401E-2</v>
      </c>
      <c r="I8" s="10">
        <f>(C12+0.6*G2)</f>
        <v>72</v>
      </c>
      <c r="K8" s="29" t="s">
        <v>80</v>
      </c>
      <c r="L8" s="23"/>
      <c r="M8" s="35">
        <f t="shared" si="1"/>
        <v>0.99520092000000004</v>
      </c>
      <c r="N8" s="36">
        <f t="shared" si="1"/>
        <v>0.99842142</v>
      </c>
      <c r="R8" s="10">
        <f>(-M5*M6)*2.71828183^((-M6*(M33+0.6*Q2))-M5*2.71828183^(-M6*(M33+0.6*Q2)))</f>
        <v>2.5267561711162401E-2</v>
      </c>
      <c r="S8" s="10">
        <f>(M33+0.6*Q2)</f>
        <v>72</v>
      </c>
    </row>
    <row r="9" spans="1:19" ht="13.8" thickBot="1" x14ac:dyDescent="0.3">
      <c r="A9" s="37" t="s">
        <v>19</v>
      </c>
      <c r="B9" s="38"/>
      <c r="C9" s="39">
        <v>76.39</v>
      </c>
      <c r="D9" s="40">
        <v>81.39</v>
      </c>
      <c r="E9" s="41"/>
      <c r="F9" s="42"/>
      <c r="G9" s="42"/>
      <c r="H9" s="10">
        <f>(-C5*C6)*2.71828183^((-C6*(C12+0.7*G2))-C5*2.71828183^(-C6*(C12+0.7*G2)))</f>
        <v>2.7113783500143502E-2</v>
      </c>
      <c r="I9" s="10">
        <f>(C12+0.7*G2)</f>
        <v>74</v>
      </c>
      <c r="K9" s="37" t="s">
        <v>19</v>
      </c>
      <c r="L9" s="38"/>
      <c r="M9" s="39">
        <f t="shared" si="1"/>
        <v>76.39</v>
      </c>
      <c r="N9" s="40">
        <f t="shared" si="1"/>
        <v>81.39</v>
      </c>
      <c r="O9" s="41"/>
      <c r="P9" s="42"/>
      <c r="Q9" s="42"/>
      <c r="R9" s="10">
        <f>(-M5*M6)*2.71828183^((-M6*(M33+0.7*Q2))-M5*2.71828183^(-M6*(M33+0.7*Q2)))</f>
        <v>2.7113783500143502E-2</v>
      </c>
      <c r="S9" s="10">
        <f>(M33+0.7*Q2)</f>
        <v>74</v>
      </c>
    </row>
    <row r="10" spans="1:19" ht="14.4" thickTop="1" thickBot="1" x14ac:dyDescent="0.3">
      <c r="A10" s="43" t="s">
        <v>17</v>
      </c>
      <c r="B10" s="44"/>
      <c r="C10" s="45"/>
      <c r="D10" s="46"/>
      <c r="E10" s="47" t="s">
        <v>23</v>
      </c>
      <c r="F10" s="48" t="s">
        <v>21</v>
      </c>
      <c r="G10" s="49" t="s">
        <v>22</v>
      </c>
      <c r="H10" s="10">
        <f>(-C5*C6)*2.71828183^((-C6*(C12+0.8*G2))-C5*2.71828183^(-C6*(C12+0.8*G2)))</f>
        <v>2.862176324554512E-2</v>
      </c>
      <c r="I10" s="10">
        <f>(C12+0.8*G2)</f>
        <v>76</v>
      </c>
      <c r="K10" s="43" t="s">
        <v>17</v>
      </c>
      <c r="L10" s="44"/>
      <c r="M10" s="45"/>
      <c r="N10" s="46"/>
      <c r="O10" s="47" t="s">
        <v>23</v>
      </c>
      <c r="P10" s="48" t="s">
        <v>21</v>
      </c>
      <c r="Q10" s="49" t="s">
        <v>22</v>
      </c>
      <c r="R10" s="10">
        <f>(-M5*M6)*2.71828183^((-M6*(M33+0.8*Q2))-M5*2.71828183^(-M6*(M33+0.8*Q2)))</f>
        <v>2.862176324554512E-2</v>
      </c>
      <c r="S10" s="10">
        <f>(M33+0.8*Q2)</f>
        <v>76</v>
      </c>
    </row>
    <row r="11" spans="1:19" ht="18.600000000000001" thickTop="1" thickBot="1" x14ac:dyDescent="0.35">
      <c r="A11" s="50" t="s">
        <v>10</v>
      </c>
      <c r="B11" s="51"/>
      <c r="C11" s="203">
        <v>0</v>
      </c>
      <c r="D11" s="52">
        <f>(C11)</f>
        <v>0</v>
      </c>
      <c r="E11" s="53" t="s">
        <v>24</v>
      </c>
      <c r="F11" s="54">
        <f>IF(C11=0,C9,ROUND(((((2.71828183^(LN(2.71828183*G3)-G4*2.71828183^(-G5*C11)))))),2))</f>
        <v>76.39</v>
      </c>
      <c r="G11" s="55">
        <f>IF(D11=0,D9,ROUND(((((2.71828183^(LN(2.71828183*G23)-G24*2.71828183^(-G25*D11)))))),2))</f>
        <v>81.39</v>
      </c>
      <c r="H11" s="10">
        <f>(-C5*C6)*2.71828183^((-C6*(C12+0.9*G2))-C5*2.71828183^(-C6*(C12+0.9*G2)))</f>
        <v>2.9636085393519321E-2</v>
      </c>
      <c r="I11" s="10">
        <f>(C12+0.9*G2)</f>
        <v>78</v>
      </c>
      <c r="K11" s="56" t="s">
        <v>65</v>
      </c>
      <c r="L11" s="51"/>
      <c r="M11" s="203">
        <v>0</v>
      </c>
      <c r="N11" s="204">
        <v>0</v>
      </c>
      <c r="O11" s="53" t="s">
        <v>24</v>
      </c>
      <c r="P11" s="54">
        <f>IF(M11=0,M9,ROUND(((((2.71828183^(LN(2.71828183*Q3)-Q4*2.71828183^(-Q5*M11)))))),2))</f>
        <v>76.39</v>
      </c>
      <c r="Q11" s="55">
        <f>IF(N11=0,N9,ROUND(((((2.71828183^(LN(2.71828183*Q23)-Q24*2.71828183^(-Q25*N11)))))),2))</f>
        <v>81.39</v>
      </c>
      <c r="R11" s="10">
        <f>(-M5*M6)*2.71828183^((-M6*(M33+0.9*Q2))-M5*2.71828183^(-M6*(M33+0.9*Q2)))</f>
        <v>2.9636085393519321E-2</v>
      </c>
      <c r="S11" s="10">
        <f>(M33+0.9*Q2)</f>
        <v>78</v>
      </c>
    </row>
    <row r="12" spans="1:19" ht="18" thickTop="1" x14ac:dyDescent="0.3">
      <c r="A12" s="57" t="s">
        <v>9</v>
      </c>
      <c r="B12" s="58"/>
      <c r="C12" s="205">
        <v>60</v>
      </c>
      <c r="D12" s="52">
        <f>(C12)</f>
        <v>60</v>
      </c>
      <c r="E12" s="59" t="s">
        <v>51</v>
      </c>
      <c r="F12" s="60">
        <f>ROUND(((H2*I2)+(H3*I3)+(H4*I4)+(H5*I5)+(H6*I6)+(H7*I7)+(H8*I8)+(H9*I9)+(H10*I10)+(H11*I11)+(H12*I12))/SUM(H2:H12)-C12,2)</f>
        <v>11.59</v>
      </c>
      <c r="G12" s="215">
        <f>ROUND(((H22*I22)+(H23*I23)+(H24*I24)+(H25*I25)+(H26*I26)+(H27*I27)+(H28*I28)+(H29*I29)+(H30*I30)+(H31*I31)+(H32*I32))/SUM(H22:H32)-D12,2)</f>
        <v>12.16</v>
      </c>
      <c r="H12" s="62">
        <f>(-C5*C6)*2.71828183^((-C6*(C12+1*G2))-C5*2.71828183^(-C6*(C12+1*G2)))</f>
        <v>2.9997066528663841E-2</v>
      </c>
      <c r="I12" s="10">
        <f>(C12+1*G2)</f>
        <v>80</v>
      </c>
      <c r="K12" s="57" t="s">
        <v>66</v>
      </c>
      <c r="L12" s="58"/>
      <c r="M12" s="205">
        <v>72.010000000000005</v>
      </c>
      <c r="N12" s="206">
        <v>76.150000000000006</v>
      </c>
      <c r="O12" s="63"/>
      <c r="P12" s="64"/>
      <c r="Q12" s="64"/>
      <c r="R12" s="10">
        <f>(-M5*M6)*2.71828183^((-M6*(M33+1*Q2))-M5*2.71828183^(-M6*(M33+1*Q2)))</f>
        <v>2.9997066528663841E-2</v>
      </c>
      <c r="S12" s="10">
        <f>(M33+1*Q2)</f>
        <v>80</v>
      </c>
    </row>
    <row r="13" spans="1:19" ht="17.399999999999999" x14ac:dyDescent="0.3">
      <c r="A13" s="65" t="s">
        <v>8</v>
      </c>
      <c r="B13" s="66"/>
      <c r="C13" s="207">
        <v>80</v>
      </c>
      <c r="D13" s="52">
        <f>(C13)</f>
        <v>80</v>
      </c>
      <c r="E13" s="53" t="s">
        <v>24</v>
      </c>
      <c r="F13" s="68">
        <f>ROUND(((((2.71828183^(LN(2.71828183*G3)-G4*2.71828183^(-G5*C13)))))),2)</f>
        <v>9.7100000000000009</v>
      </c>
      <c r="G13" s="69">
        <f>ROUND(((((2.71828183^(LN(2.71828183*G23)-G24*2.71828183^(-G25*D13)))))),2)</f>
        <v>11.22</v>
      </c>
      <c r="H13" s="70"/>
      <c r="I13" s="70"/>
      <c r="K13" s="65" t="s">
        <v>67</v>
      </c>
      <c r="L13" s="66"/>
      <c r="M13" s="207">
        <v>36.72</v>
      </c>
      <c r="N13" s="208">
        <v>50.54</v>
      </c>
      <c r="O13" s="71"/>
      <c r="P13" s="72"/>
      <c r="Q13" s="72"/>
      <c r="R13" s="70"/>
      <c r="S13" s="70"/>
    </row>
    <row r="14" spans="1:19" ht="18" thickBot="1" x14ac:dyDescent="0.35">
      <c r="A14" s="73" t="s">
        <v>7</v>
      </c>
      <c r="B14" s="74"/>
      <c r="C14" s="209">
        <v>90</v>
      </c>
      <c r="D14" s="75">
        <f>(C14)</f>
        <v>90</v>
      </c>
      <c r="E14" s="53" t="s">
        <v>24</v>
      </c>
      <c r="F14" s="76">
        <f>ROUND(((((2.71828183^(LN(2.71828183*G3)-G4*2.71828183^(-G5*C14)))))),2)</f>
        <v>5.33</v>
      </c>
      <c r="G14" s="77">
        <f>ROUND(((((2.71828183^(LN(2.71828183*G23)-G24*2.71828183^(-G25*D14)))))),2)</f>
        <v>6.31</v>
      </c>
      <c r="H14" s="70"/>
      <c r="I14" s="70"/>
      <c r="K14" s="73" t="s">
        <v>68</v>
      </c>
      <c r="L14" s="74"/>
      <c r="M14" s="209">
        <v>28.24</v>
      </c>
      <c r="N14" s="210">
        <v>40.42</v>
      </c>
      <c r="O14" s="71"/>
      <c r="P14" s="78"/>
      <c r="Q14" s="78"/>
      <c r="R14" s="70"/>
      <c r="S14" s="70"/>
    </row>
    <row r="15" spans="1:19" ht="14.4" thickTop="1" thickBot="1" x14ac:dyDescent="0.3">
      <c r="A15" s="79" t="s">
        <v>12</v>
      </c>
      <c r="B15" s="80"/>
      <c r="C15" s="80"/>
      <c r="D15" s="81"/>
      <c r="E15" s="63"/>
      <c r="F15" s="82"/>
      <c r="G15" s="83"/>
      <c r="H15" s="70"/>
      <c r="I15" s="70"/>
      <c r="K15" s="79" t="s">
        <v>12</v>
      </c>
      <c r="L15" s="84"/>
      <c r="M15" s="84"/>
      <c r="N15" s="81"/>
      <c r="O15" s="71"/>
      <c r="P15" s="85"/>
      <c r="Q15" s="86"/>
      <c r="R15" s="70"/>
      <c r="S15" s="70"/>
    </row>
    <row r="16" spans="1:19" ht="13.8" thickTop="1" x14ac:dyDescent="0.25">
      <c r="A16" s="87" t="s">
        <v>5</v>
      </c>
      <c r="B16" s="88"/>
      <c r="C16" s="89"/>
      <c r="D16" s="90"/>
      <c r="E16" s="67"/>
      <c r="F16" s="67"/>
      <c r="G16" s="67"/>
      <c r="H16" s="70"/>
      <c r="I16" s="70"/>
      <c r="K16" s="87" t="s">
        <v>5</v>
      </c>
      <c r="L16" s="88"/>
      <c r="M16" s="89"/>
      <c r="N16" s="90"/>
      <c r="O16" s="67"/>
      <c r="P16" s="67"/>
      <c r="Q16" s="67"/>
      <c r="R16" s="70"/>
      <c r="S16" s="70"/>
    </row>
    <row r="17" spans="1:19" ht="13.8" thickBot="1" x14ac:dyDescent="0.3">
      <c r="A17" s="91" t="s">
        <v>6</v>
      </c>
      <c r="B17" s="92"/>
      <c r="C17" s="93"/>
      <c r="D17" s="94"/>
      <c r="E17" s="67"/>
      <c r="F17" s="67"/>
      <c r="G17" s="67"/>
      <c r="H17" s="70"/>
      <c r="I17" s="70"/>
      <c r="K17" s="91"/>
      <c r="L17" s="95"/>
      <c r="M17" s="93"/>
      <c r="N17" s="94"/>
      <c r="O17" s="67"/>
      <c r="P17" s="67"/>
      <c r="Q17" s="67"/>
      <c r="R17" s="70"/>
      <c r="S17" s="70"/>
    </row>
    <row r="18" spans="1:19" ht="14.4" thickTop="1" thickBot="1" x14ac:dyDescent="0.3">
      <c r="A18" s="91" t="s">
        <v>2</v>
      </c>
      <c r="B18" s="92"/>
      <c r="C18" s="96">
        <f>((2.71828183^(-C5*(2.71828183^(-C6*C13)-2.71828183^(-C6*C11))))*100)</f>
        <v>36.720807687257945</v>
      </c>
      <c r="D18" s="97">
        <f>((2.71828183^(-D5*(2.71828183^(-D6*C13)-2.71828183^(-D6*C11))))*100)</f>
        <v>50.538819443141023</v>
      </c>
      <c r="E18" s="67"/>
      <c r="F18" s="67"/>
      <c r="G18" s="27"/>
      <c r="H18" s="70"/>
      <c r="I18" s="70"/>
      <c r="K18" s="91"/>
      <c r="L18" s="95"/>
      <c r="M18" s="96">
        <f>((2.71828183^(-M5*(2.71828183^(-M6*M13)-2.71828183^(-M6*M11))))*100)</f>
        <v>97.243245183967048</v>
      </c>
      <c r="N18" s="97">
        <f>((2.71828183^(-N5*(2.71828183^(-N6*M13)-2.71828183^(-N6*M11))))*100)</f>
        <v>98.32356047836403</v>
      </c>
      <c r="O18" s="98" t="s">
        <v>23</v>
      </c>
      <c r="P18" s="99" t="s">
        <v>21</v>
      </c>
      <c r="Q18" s="100" t="s">
        <v>22</v>
      </c>
      <c r="R18" s="70"/>
      <c r="S18" s="70"/>
    </row>
    <row r="19" spans="1:19" ht="18.600000000000001" thickTop="1" thickBot="1" x14ac:dyDescent="0.35">
      <c r="A19" s="91" t="s">
        <v>57</v>
      </c>
      <c r="B19" s="92"/>
      <c r="C19" s="101">
        <f>ROUND(C18,2)</f>
        <v>36.72</v>
      </c>
      <c r="D19" s="69">
        <f>ROUND(D18,2)</f>
        <v>50.54</v>
      </c>
      <c r="E19" s="67"/>
      <c r="F19" s="67"/>
      <c r="G19" s="202"/>
      <c r="H19" s="70"/>
      <c r="I19" s="70"/>
      <c r="K19" s="91" t="s">
        <v>69</v>
      </c>
      <c r="L19" s="95"/>
      <c r="M19" s="101">
        <f>ROUND(((LN(((LN(M13*0.01))/-M5)+2.71828183^(-M6*M11)))/-M6),2)</f>
        <v>80</v>
      </c>
      <c r="N19" s="69">
        <f>ROUND(((LN(((LN(N13*0.01))/-N5)+2.71828183^(-N6*N11)))/-N6),2)</f>
        <v>80</v>
      </c>
      <c r="O19" s="102" t="s">
        <v>24</v>
      </c>
      <c r="P19" s="68">
        <f>IF(M19=0,M9,ROUND(((((2.71828183^(LN(2.71828183*Q3)-Q4*2.71828183^(-Q5*M19)))))),2))</f>
        <v>9.7100000000000009</v>
      </c>
      <c r="Q19" s="103">
        <f>IF(N19=0,N9,ROUND(((((2.71828183^(LN(2.71828183*Q23)-Q24*2.71828183^(-Q25*N19)))))),2))</f>
        <v>11.22</v>
      </c>
      <c r="R19" s="70"/>
      <c r="S19" s="70"/>
    </row>
    <row r="20" spans="1:19" ht="13.8" thickTop="1" x14ac:dyDescent="0.25">
      <c r="A20" s="22"/>
      <c r="B20" s="23"/>
      <c r="C20" s="35"/>
      <c r="D20" s="36"/>
      <c r="E20" s="67"/>
      <c r="F20" s="67"/>
      <c r="G20" s="27"/>
      <c r="H20" s="70"/>
      <c r="I20" s="70"/>
      <c r="K20" s="22"/>
      <c r="L20" s="8"/>
      <c r="M20" s="35"/>
      <c r="N20" s="36"/>
      <c r="O20" s="67"/>
      <c r="P20" s="104"/>
      <c r="Q20" s="104"/>
      <c r="R20" s="70"/>
      <c r="S20" s="70"/>
    </row>
    <row r="21" spans="1:19" x14ac:dyDescent="0.25">
      <c r="A21" s="105" t="s">
        <v>3</v>
      </c>
      <c r="B21" s="106"/>
      <c r="C21" s="107"/>
      <c r="D21" s="36"/>
      <c r="E21" s="67"/>
      <c r="F21" s="67"/>
      <c r="G21" s="27"/>
      <c r="H21" s="70"/>
      <c r="I21" s="70"/>
      <c r="K21" s="105"/>
      <c r="L21" s="108"/>
      <c r="M21" s="107"/>
      <c r="N21" s="36"/>
      <c r="O21" s="67"/>
      <c r="P21" s="67"/>
      <c r="Q21" s="27"/>
      <c r="R21" s="70"/>
      <c r="S21" s="70"/>
    </row>
    <row r="22" spans="1:19" x14ac:dyDescent="0.25">
      <c r="A22" s="105" t="s">
        <v>4</v>
      </c>
      <c r="B22" s="106"/>
      <c r="C22" s="109">
        <f>((2.71828183^(-C5*(2.71828183^(-C6*(C11+1))-2.71828183^(-C6*(C11-0)))))*100)</f>
        <v>99.987480579642181</v>
      </c>
      <c r="D22" s="97">
        <f>((2.71828183^(-D5*(2.71828183^(-D6*(C11+1))-2.71828183^(-D6*(C11-0)))))*100)</f>
        <v>99.992971255543225</v>
      </c>
      <c r="E22" s="7" t="s">
        <v>87</v>
      </c>
      <c r="F22" s="8"/>
      <c r="G22" s="9">
        <f>(D13-D12)</f>
        <v>20</v>
      </c>
      <c r="H22" s="10">
        <f>(-D5*D6)*2.71828183^((-D6*(D12+0*G22))-D5*2.71828183^(-D6*(D12+0*G22)))</f>
        <v>9.3961102899444652E-3</v>
      </c>
      <c r="I22" s="10">
        <f>(D12+0*G22)</f>
        <v>60</v>
      </c>
      <c r="K22" s="105"/>
      <c r="L22" s="108"/>
      <c r="M22" s="109">
        <f>((2.71828183^(-M5*(2.71828183^(-M6*(M11+1))-2.71828183^(-M6*(M11-0)))))*100)</f>
        <v>99.987480579642181</v>
      </c>
      <c r="N22" s="97">
        <f>((2.71828183^(-N5*(2.71828183^(-N6*(M11+1))-2.71828183^(-N6*(M11-0)))))*100)</f>
        <v>99.992971255543225</v>
      </c>
      <c r="O22" s="7" t="s">
        <v>87</v>
      </c>
      <c r="P22" s="8"/>
      <c r="Q22" s="9">
        <f>(N19-N33)</f>
        <v>20</v>
      </c>
      <c r="R22" s="10">
        <f>(-N5*N6)*2.71828183^((-N6*(N33+0*Q22))-N5*2.71828183^(-N6*(N33+0*Q22)))</f>
        <v>9.3961102899444652E-3</v>
      </c>
      <c r="S22" s="10">
        <f>(N33+0*Q22)</f>
        <v>60</v>
      </c>
    </row>
    <row r="23" spans="1:19" ht="17.399999999999999" x14ac:dyDescent="0.3">
      <c r="A23" s="105" t="s">
        <v>58</v>
      </c>
      <c r="B23" s="106"/>
      <c r="C23" s="110">
        <f>ROUND(C22,3)</f>
        <v>99.986999999999995</v>
      </c>
      <c r="D23" s="111">
        <f>ROUND(D22,3)</f>
        <v>99.992999999999995</v>
      </c>
      <c r="E23" s="14" t="s">
        <v>46</v>
      </c>
      <c r="F23" s="14"/>
      <c r="G23" s="15">
        <v>47.252699999999997</v>
      </c>
      <c r="H23" s="10">
        <f>(-D5*D6)*2.71828183^((-D6*(D12+0.1*G22))-D5*2.71828183^(-D6*(D12+0.1*G22)))</f>
        <v>1.0868577976353771E-2</v>
      </c>
      <c r="I23" s="10">
        <f>(D12+0.1*G22)</f>
        <v>62</v>
      </c>
      <c r="K23" s="105" t="s">
        <v>70</v>
      </c>
      <c r="L23" s="108"/>
      <c r="M23" s="110">
        <f>ROUND(M22,3)</f>
        <v>99.986999999999995</v>
      </c>
      <c r="N23" s="111">
        <f>ROUND(N22,3)</f>
        <v>99.992999999999995</v>
      </c>
      <c r="O23" s="14" t="s">
        <v>46</v>
      </c>
      <c r="P23" s="14"/>
      <c r="Q23" s="15">
        <f t="shared" ref="Q23:Q25" si="2">G23</f>
        <v>47.252699999999997</v>
      </c>
      <c r="R23" s="10">
        <f>(-N5*N6)*2.71828183^((-N6*(N33+0.1*Q22))-N5*2.71828183^(-N6*(N33+0.1*Q22)))</f>
        <v>1.0868577976353771E-2</v>
      </c>
      <c r="S23" s="10">
        <f>(N33+0.1*Q22)</f>
        <v>62</v>
      </c>
    </row>
    <row r="24" spans="1:19" x14ac:dyDescent="0.25">
      <c r="A24" s="112" t="s">
        <v>59</v>
      </c>
      <c r="B24" s="113"/>
      <c r="C24" s="35"/>
      <c r="D24" s="36"/>
      <c r="E24" s="15" t="s">
        <v>84</v>
      </c>
      <c r="F24" s="20" t="s">
        <v>48</v>
      </c>
      <c r="G24" s="15">
        <v>0.44723634000000001</v>
      </c>
      <c r="H24" s="10">
        <f>(-D5*D6)*2.71828183^((-D6*(D12+0.2*G22))-D5*2.71828183^(-D6*(D12+0.2*G22)))</f>
        <v>1.2518211948183365E-2</v>
      </c>
      <c r="I24" s="10">
        <f>(D12+0.2*G22)</f>
        <v>64</v>
      </c>
      <c r="K24" s="112" t="s">
        <v>59</v>
      </c>
      <c r="L24" s="114"/>
      <c r="M24" s="35"/>
      <c r="N24" s="36"/>
      <c r="O24" s="15" t="s">
        <v>84</v>
      </c>
      <c r="P24" s="20" t="s">
        <v>52</v>
      </c>
      <c r="Q24" s="15">
        <f t="shared" si="2"/>
        <v>0.44723634000000001</v>
      </c>
      <c r="R24" s="10">
        <f>(-N5*N6)*2.71828183^((-N6*(N33+0.2*Q22))-N5*2.71828183^(-N6*(N33+0.2*Q22)))</f>
        <v>1.2518211948183365E-2</v>
      </c>
      <c r="S24" s="10">
        <f>(N33+0.2*Q22)</f>
        <v>64</v>
      </c>
    </row>
    <row r="25" spans="1:19" x14ac:dyDescent="0.25">
      <c r="A25" s="22"/>
      <c r="B25" s="23"/>
      <c r="C25" s="109">
        <f>(2.71828183^(-C5*((2.71828183^(-C6*C14))-(2.71828183^(-C6*C13)))))</f>
        <v>0.28244847114073324</v>
      </c>
      <c r="D25" s="97">
        <f>(2.71828183^(-D5*((2.71828183^(-D6*C14))-(2.71828183^(-D6*C13)))))</f>
        <v>0.4042258076341993</v>
      </c>
      <c r="E25" s="15" t="s">
        <v>85</v>
      </c>
      <c r="F25" s="15" t="s">
        <v>47</v>
      </c>
      <c r="G25" s="15">
        <v>-2.1196130000000001E-2</v>
      </c>
      <c r="H25" s="10">
        <f>(-D5*D6)*2.71828183^((-D6*(D12+0.3*G22))-D5*2.71828183^(-D6*(D12+0.3*G22)))</f>
        <v>1.4345500384845992E-2</v>
      </c>
      <c r="I25" s="10">
        <f>(D12+0.3*G22)</f>
        <v>66</v>
      </c>
      <c r="K25" s="22"/>
      <c r="L25" s="8"/>
      <c r="M25" s="109">
        <f>(2.71828183^(-M5*((2.71828183^(-M6*M14))-(2.71828183^(-M6*M13)))))</f>
        <v>1.014797859388717</v>
      </c>
      <c r="N25" s="97">
        <f>(2.71828183^(-N5*((2.71828183^(-N6*M14))-(2.71828183^(-N6*M13)))))</f>
        <v>1.0090911941048106</v>
      </c>
      <c r="O25" s="15" t="s">
        <v>85</v>
      </c>
      <c r="P25" s="15" t="s">
        <v>53</v>
      </c>
      <c r="Q25" s="15">
        <f t="shared" si="2"/>
        <v>-2.1196130000000001E-2</v>
      </c>
      <c r="R25" s="10">
        <f>(-N5*N6)*2.71828183^((-N6*(N33+0.3*Q22))-N5*2.71828183^(-N6*(N33+0.3*Q22)))</f>
        <v>1.4345500384845992E-2</v>
      </c>
      <c r="S25" s="10">
        <f>(N33+0.3*Q22)</f>
        <v>66</v>
      </c>
    </row>
    <row r="26" spans="1:19" x14ac:dyDescent="0.25">
      <c r="A26" s="115" t="s">
        <v>6</v>
      </c>
      <c r="B26" s="23"/>
      <c r="C26" s="109">
        <f>(2.71828183^(-C5*(2.71828183^(-C6*C12)-1)))</f>
        <v>0.82288264941171529</v>
      </c>
      <c r="D26" s="97">
        <f>(2.71828183^(-D5*(2.71828183^(-D6*C12)-1)))</f>
        <v>0.88204420787681825</v>
      </c>
      <c r="E26" s="27"/>
      <c r="F26" s="28"/>
      <c r="G26" s="28"/>
      <c r="H26" s="10">
        <f>(-D5*D6)*2.71828183^((-D6*(D12+0.4*G22))-D5*2.71828183^(-D6*(D12+0.4*G22)))</f>
        <v>1.6341392780232236E-2</v>
      </c>
      <c r="I26" s="10">
        <f>(D12+0.4*G22)</f>
        <v>68</v>
      </c>
      <c r="K26" s="115"/>
      <c r="L26" s="8"/>
      <c r="M26" s="109">
        <f>(2.71828183^(-M5*(2.71828183^(-M6*M12)-1)))</f>
        <v>0.59362725925616566</v>
      </c>
      <c r="N26" s="97">
        <f>(2.71828183^(-N5*(2.71828183^(-N6*M12)-1)))</f>
        <v>0.70660435703734614</v>
      </c>
      <c r="O26" s="27"/>
      <c r="P26" s="28"/>
      <c r="Q26" s="28"/>
      <c r="R26" s="10">
        <f>(-N5*N6)*2.71828183^((-N6*(N33+0.4*Q22))-N5*2.71828183^(-N6*(N33+0.4*Q22)))</f>
        <v>1.6341392780232236E-2</v>
      </c>
      <c r="S26" s="10">
        <f>(N33+0.4*Q22)</f>
        <v>68</v>
      </c>
    </row>
    <row r="27" spans="1:19" ht="13.8" thickBot="1" x14ac:dyDescent="0.3">
      <c r="A27" s="115" t="s">
        <v>60</v>
      </c>
      <c r="B27" s="116"/>
      <c r="C27" s="109">
        <f>(2.71828183^(-C5*(2.71828183^(-C6*C13)-1)))</f>
        <v>0.36720807687257945</v>
      </c>
      <c r="D27" s="97">
        <f>(2.71828183^(-D5*(2.71828183^(-D6*C13)-1)))</f>
        <v>0.50538819443141025</v>
      </c>
      <c r="E27" s="67"/>
      <c r="F27" s="67"/>
      <c r="G27" s="27"/>
      <c r="H27" s="10">
        <f>(-D5*D6)*2.71828183^((-D6*(D12+0.5*G22))-D5*2.71828183^(-D6*(D12+0.5*G22)))</f>
        <v>1.8483502714277126E-2</v>
      </c>
      <c r="I27" s="10">
        <f>(D12+0.5*G22)</f>
        <v>70</v>
      </c>
      <c r="K27" s="115"/>
      <c r="L27" s="117"/>
      <c r="M27" s="109">
        <f>(2.71828183^(-M5*(2.71828183^(-M6*M13)-1)))</f>
        <v>0.97243245183967053</v>
      </c>
      <c r="N27" s="97">
        <f>(2.71828183^(-N5*(2.71828183^(-N6*M13)-1)))</f>
        <v>0.98323560478364036</v>
      </c>
      <c r="O27" s="67"/>
      <c r="P27" s="67"/>
      <c r="Q27" s="27"/>
      <c r="R27" s="10">
        <f>(-N5*N6)*2.71828183^((-N6*(N33+0.5*Q22))-N5*2.71828183^(-N6*(N33+0.5*Q22)))</f>
        <v>1.8483502714277126E-2</v>
      </c>
      <c r="S27" s="10">
        <f>(N33+0.5*Q22)</f>
        <v>70</v>
      </c>
    </row>
    <row r="28" spans="1:19" ht="14.4" thickTop="1" thickBot="1" x14ac:dyDescent="0.3">
      <c r="A28" s="115" t="s">
        <v>61</v>
      </c>
      <c r="B28" s="116"/>
      <c r="C28" s="109">
        <f>(2.71828183^(-C5*(2.71828183^(-C6*C11)-1)))</f>
        <v>1</v>
      </c>
      <c r="D28" s="97">
        <f>(2.71828183^(-D5*(2.71828183^(-D6*C11)-1)))</f>
        <v>1</v>
      </c>
      <c r="E28" s="67"/>
      <c r="F28" s="67"/>
      <c r="G28" s="27"/>
      <c r="H28" s="10">
        <f>(-D5*D6)*2.71828183^((-D6*(D12+0.6*G22))-D5*2.71828183^(-D6*(D12+0.6*G22)))</f>
        <v>2.0731716972303346E-2</v>
      </c>
      <c r="I28" s="10">
        <f>(D12+0.6*G22)</f>
        <v>72</v>
      </c>
      <c r="K28" s="115"/>
      <c r="L28" s="117"/>
      <c r="M28" s="109">
        <f>(2.71828183^(-M5*(2.71828183^(-M6*M11)-1)))</f>
        <v>1</v>
      </c>
      <c r="N28" s="97">
        <f>(2.71828183^(-N5*(2.71828183^(-N6*M11)-1)))</f>
        <v>1</v>
      </c>
      <c r="O28" s="98" t="s">
        <v>23</v>
      </c>
      <c r="P28" s="99" t="s">
        <v>21</v>
      </c>
      <c r="Q28" s="100" t="s">
        <v>22</v>
      </c>
      <c r="R28" s="10">
        <f>(-N5*N6)*2.71828183^((-N6*(N33+0.6*Q22))-N5*2.71828183^(-N6*(N33+0.6*Q22)))</f>
        <v>2.0731716972303346E-2</v>
      </c>
      <c r="S28" s="10">
        <f>(N33+0.6*Q22)</f>
        <v>72</v>
      </c>
    </row>
    <row r="29" spans="1:19" ht="18.600000000000001" thickTop="1" thickBot="1" x14ac:dyDescent="0.35">
      <c r="A29" s="115" t="s">
        <v>62</v>
      </c>
      <c r="B29" s="116"/>
      <c r="C29" s="118">
        <f>ROUND((C25*100),2)</f>
        <v>28.24</v>
      </c>
      <c r="D29" s="119">
        <f>ROUND((D25*100),2)</f>
        <v>40.42</v>
      </c>
      <c r="E29" s="67"/>
      <c r="F29" s="67"/>
      <c r="G29" s="27"/>
      <c r="H29" s="10">
        <f>(-D5*D6)*2.71828183^((-D6*(D12+0.7*G22))-D5*2.71828183^(-D6*(D12+0.7*G22)))</f>
        <v>2.3023530078085101E-2</v>
      </c>
      <c r="I29" s="10">
        <f>(D12+0.7*G22)</f>
        <v>74</v>
      </c>
      <c r="K29" s="115" t="s">
        <v>71</v>
      </c>
      <c r="L29" s="117"/>
      <c r="M29" s="118">
        <f>ROUND(((LN((LN(0.01*M14)/-M5)+2.71828183^(-M6*M19))/-M6)),2)</f>
        <v>90</v>
      </c>
      <c r="N29" s="119">
        <f>ROUND(((LN((LN(0.01*N14)/-N5)+2.71828183^(-N6*N19))/-N6)),2)</f>
        <v>90</v>
      </c>
      <c r="O29" s="102" t="s">
        <v>24</v>
      </c>
      <c r="P29" s="76">
        <f>IF(M29=0,M9,ROUND(((((2.71828183^(LN(2.71828183*Q3)-Q4*2.71828183^(-Q5*M29)))))),2))</f>
        <v>5.33</v>
      </c>
      <c r="Q29" s="120">
        <f>IF(N29=0,N9,ROUND(((((2.71828183^(LN(2.71828183*Q23)-Q24*2.71828183^(-Q25*N29)))))),2))</f>
        <v>6.31</v>
      </c>
      <c r="R29" s="10">
        <f>(-N5*N6)*2.71828183^((-N6*(N33+0.7*Q22))-N5*2.71828183^(-N6*(N33+0.7*Q22)))</f>
        <v>2.3023530078085101E-2</v>
      </c>
      <c r="S29" s="10">
        <f>(N33+0.7*Q22)</f>
        <v>74</v>
      </c>
    </row>
    <row r="30" spans="1:19" ht="13.8" thickTop="1" x14ac:dyDescent="0.25">
      <c r="A30" s="22"/>
      <c r="B30" s="23"/>
      <c r="C30" s="109">
        <f>((C26-C27)/(C28-C27))</f>
        <v>0.72010175206894989</v>
      </c>
      <c r="D30" s="97">
        <f>((D26-D27)/(D28-D27))</f>
        <v>0.76151844578884731</v>
      </c>
      <c r="E30" s="67"/>
      <c r="F30" s="67"/>
      <c r="G30" s="27"/>
      <c r="H30" s="10">
        <f>(-D5*D6)*2.71828183^((-D6*(D12+0.8*G22))-D5*2.71828183^(-D6*(D12+0.8*G22)))</f>
        <v>2.5269742814952697E-2</v>
      </c>
      <c r="I30" s="10">
        <f>(D12+0.8*G22)</f>
        <v>76</v>
      </c>
      <c r="K30" s="22"/>
      <c r="L30" s="8"/>
      <c r="M30" s="109">
        <f>((M26-M27)/(M28-M27))</f>
        <v>-13.740982345634093</v>
      </c>
      <c r="N30" s="97">
        <f>((N26-N27)/(N28-N27))</f>
        <v>-16.501117050517987</v>
      </c>
      <c r="O30" s="67"/>
      <c r="P30" s="104"/>
      <c r="Q30" s="104"/>
      <c r="R30" s="10">
        <f>(-N5*N6)*2.71828183^((-N6*(N33+0.8*Q22))-N5*2.71828183^(-N6*(N33+0.8*Q22)))</f>
        <v>2.5269742814952697E-2</v>
      </c>
      <c r="S30" s="10">
        <f>(N33+0.8*Q22)</f>
        <v>76</v>
      </c>
    </row>
    <row r="31" spans="1:19" ht="13.8" thickBot="1" x14ac:dyDescent="0.3">
      <c r="A31" s="121" t="s">
        <v>6</v>
      </c>
      <c r="B31" s="122"/>
      <c r="C31" s="109"/>
      <c r="D31" s="97"/>
      <c r="E31" s="67"/>
      <c r="F31" s="67"/>
      <c r="G31" s="27"/>
      <c r="H31" s="10">
        <f>(-D5*D6)*2.71828183^((-D6*(D12+0.9*G22))-D5*2.71828183^(-D6*(D12+0.9*G22)))</f>
        <v>2.7351599311992849E-2</v>
      </c>
      <c r="I31" s="10">
        <f>(D12+0.9*G22)</f>
        <v>78</v>
      </c>
      <c r="K31" s="121"/>
      <c r="L31" s="123"/>
      <c r="M31" s="109"/>
      <c r="N31" s="97"/>
      <c r="O31" s="67"/>
      <c r="P31" s="67"/>
      <c r="Q31" s="27"/>
      <c r="R31" s="10">
        <f>(-N5*N6)*2.71828183^((-N6*(N33+0.9*Q22))-N5*2.71828183^(-N6*(N33+0.9*Q22)))</f>
        <v>2.7351599311992849E-2</v>
      </c>
      <c r="S31" s="10">
        <f>(N33+0.9*Q22)</f>
        <v>78</v>
      </c>
    </row>
    <row r="32" spans="1:19" ht="14.4" thickTop="1" thickBot="1" x14ac:dyDescent="0.3">
      <c r="A32" s="121" t="s">
        <v>60</v>
      </c>
      <c r="B32" s="122"/>
      <c r="C32" s="35"/>
      <c r="D32" s="36"/>
      <c r="E32" s="67"/>
      <c r="F32" s="67"/>
      <c r="G32" s="27"/>
      <c r="H32" s="10">
        <f>(-D5*D6)*2.71828183^((-D6*(D12+1*G22))-D5*2.71828183^(-D6*(D12+1*G22)))</f>
        <v>2.9120955765641943E-2</v>
      </c>
      <c r="I32" s="10">
        <f>(D12+1*G22)</f>
        <v>80</v>
      </c>
      <c r="K32" s="121"/>
      <c r="L32" s="123"/>
      <c r="M32" s="35"/>
      <c r="N32" s="36"/>
      <c r="O32" s="98" t="s">
        <v>23</v>
      </c>
      <c r="P32" s="99" t="s">
        <v>21</v>
      </c>
      <c r="Q32" s="100" t="s">
        <v>22</v>
      </c>
      <c r="R32" s="10">
        <f>(-N5*N6)*2.71828183^((-N6*(N33+1*Q22))-N5*2.71828183^(-N6*(N33+1*Q22)))</f>
        <v>2.9120955765641943E-2</v>
      </c>
      <c r="S32" s="10">
        <f>(N33+1*Q22)</f>
        <v>80</v>
      </c>
    </row>
    <row r="33" spans="1:19" ht="18.600000000000001" thickTop="1" thickBot="1" x14ac:dyDescent="0.35">
      <c r="A33" s="121" t="s">
        <v>63</v>
      </c>
      <c r="B33" s="124"/>
      <c r="C33" s="125">
        <f>ROUND((100*C30),2)</f>
        <v>72.010000000000005</v>
      </c>
      <c r="D33" s="61">
        <f>ROUND((100*D30),2)</f>
        <v>76.150000000000006</v>
      </c>
      <c r="E33" s="67"/>
      <c r="F33" s="67"/>
      <c r="G33" s="27"/>
      <c r="K33" s="121" t="s">
        <v>72</v>
      </c>
      <c r="L33" s="124"/>
      <c r="M33" s="126">
        <f>ROUND(((LN((LN((K48-K47)*0.01*M12+K47))/-M5+1))/-M6),2)</f>
        <v>60</v>
      </c>
      <c r="N33" s="61">
        <f>ROUND(((LN((LN((L48-L47)*0.01*N12+L47))/-N5+1))/-N6),2)</f>
        <v>60</v>
      </c>
      <c r="O33" s="219" t="s">
        <v>51</v>
      </c>
      <c r="P33" s="60">
        <f>IF(M33=0,M9,ROUND(((R2*S2)+(R3*S3)+(R4*S4)+(R5*S5)+(R6*S6)+(R7*S7)+(R8*S8)+(R9*S9)+(R10*S10)+(R11*S11)+(R12*S12))/SUM(R2:R12)-M33,2))</f>
        <v>11.59</v>
      </c>
      <c r="Q33" s="60">
        <f>IF(N33=0,N9,ROUND(((R22*S22)+(R23*S23)+(R24*S24)+(R25*S25)+(R26*S26)+(R27*S27)+(R28*S28)+(R29*S29)+(R30*S30)+(R31*S31)+(R32*S32))/SUM(R22:R32)-N33,2))</f>
        <v>12.16</v>
      </c>
      <c r="R33" s="128"/>
      <c r="S33" s="70"/>
    </row>
    <row r="34" spans="1:19" ht="14.4" thickTop="1" thickBot="1" x14ac:dyDescent="0.3">
      <c r="A34" s="129" t="s">
        <v>64</v>
      </c>
      <c r="B34" s="38"/>
      <c r="C34" s="130"/>
      <c r="D34" s="131"/>
      <c r="E34" s="67"/>
      <c r="F34" s="67"/>
      <c r="G34" s="27"/>
      <c r="K34" s="129"/>
      <c r="L34" s="38"/>
      <c r="M34" s="130"/>
      <c r="N34" s="131"/>
      <c r="O34" s="67"/>
      <c r="P34" s="104"/>
      <c r="Q34" s="104"/>
    </row>
    <row r="35" spans="1:19" ht="13.8" thickTop="1" x14ac:dyDescent="0.25">
      <c r="A35" s="132" t="s">
        <v>16</v>
      </c>
      <c r="B35" s="133"/>
      <c r="C35" s="134"/>
      <c r="D35" s="135"/>
      <c r="E35" s="136"/>
      <c r="F35" s="67"/>
      <c r="G35" s="27"/>
      <c r="K35" s="132" t="s">
        <v>16</v>
      </c>
      <c r="L35" s="133"/>
      <c r="M35" s="134"/>
      <c r="N35" s="135"/>
      <c r="O35" s="136"/>
      <c r="P35" s="67"/>
      <c r="Q35" s="27"/>
    </row>
    <row r="36" spans="1:19" ht="17.399999999999999" x14ac:dyDescent="0.3">
      <c r="A36" s="137" t="s">
        <v>14</v>
      </c>
      <c r="B36" s="138"/>
      <c r="C36" s="211">
        <v>36.72</v>
      </c>
      <c r="D36" s="52">
        <f>(C36)</f>
        <v>36.72</v>
      </c>
      <c r="E36" s="71"/>
      <c r="F36" s="67"/>
      <c r="G36" s="27"/>
      <c r="K36" s="137" t="s">
        <v>14</v>
      </c>
      <c r="L36" s="138"/>
      <c r="M36" s="211">
        <v>36.72</v>
      </c>
      <c r="N36" s="212">
        <v>36.72</v>
      </c>
      <c r="O36" s="71"/>
      <c r="P36" s="67"/>
      <c r="Q36" s="27"/>
    </row>
    <row r="37" spans="1:19" ht="18" thickBot="1" x14ac:dyDescent="0.35">
      <c r="A37" s="140" t="s">
        <v>13</v>
      </c>
      <c r="B37" s="51"/>
      <c r="C37" s="203">
        <v>0</v>
      </c>
      <c r="D37" s="141">
        <f>(C37)</f>
        <v>0</v>
      </c>
      <c r="E37" s="67"/>
      <c r="F37" s="67"/>
      <c r="G37" s="27"/>
      <c r="K37" s="140" t="s">
        <v>13</v>
      </c>
      <c r="L37" s="142"/>
      <c r="M37" s="203">
        <v>0</v>
      </c>
      <c r="N37" s="204">
        <v>0</v>
      </c>
      <c r="O37" s="67"/>
      <c r="P37" s="67"/>
      <c r="Q37" s="27"/>
    </row>
    <row r="38" spans="1:19" ht="14.4" thickTop="1" thickBot="1" x14ac:dyDescent="0.3">
      <c r="A38" s="143"/>
      <c r="B38" s="144"/>
      <c r="C38" s="145">
        <f>((LN(((LN(C36*0.01))/-C5)+2.71828183^(-C6*C37)))/-C6)</f>
        <v>80.000268911207357</v>
      </c>
      <c r="D38" s="146">
        <f>((LN(((LN(C36*0.01))/-D5)+2.71828183^(-D6*D37)))/-D6)</f>
        <v>84.544483083233786</v>
      </c>
      <c r="E38" s="98" t="s">
        <v>23</v>
      </c>
      <c r="F38" s="99" t="s">
        <v>21</v>
      </c>
      <c r="G38" s="100" t="s">
        <v>22</v>
      </c>
      <c r="K38" s="143"/>
      <c r="L38" s="144"/>
      <c r="M38" s="145">
        <f>((LN(((LN(M36*0.01))/-M5)+2.71828183^(-M6*M37)))/-M6)</f>
        <v>80.000268911207357</v>
      </c>
      <c r="N38" s="146">
        <f>((LN(((LN(N36*0.01))/-N5)+2.71828183^(-N6*N37)))/-N6)</f>
        <v>84.544483083233786</v>
      </c>
      <c r="O38" s="98" t="s">
        <v>23</v>
      </c>
      <c r="P38" s="99" t="s">
        <v>21</v>
      </c>
      <c r="Q38" s="100" t="s">
        <v>22</v>
      </c>
    </row>
    <row r="39" spans="1:19" ht="18.600000000000001" thickTop="1" thickBot="1" x14ac:dyDescent="0.35">
      <c r="A39" s="91" t="s">
        <v>15</v>
      </c>
      <c r="B39" s="147"/>
      <c r="C39" s="101">
        <f>ROUND(C38,2)</f>
        <v>80</v>
      </c>
      <c r="D39" s="69">
        <f>ROUND(D38,2)</f>
        <v>84.54</v>
      </c>
      <c r="E39" s="53" t="s">
        <v>24</v>
      </c>
      <c r="F39" s="68">
        <f>IF(C39=0,C9,ROUND(((((2.71828183^(LN(2.71828183*G3)-G4*2.71828183^(-G5*C39)))))),2))</f>
        <v>9.7100000000000009</v>
      </c>
      <c r="G39" s="103">
        <f>IF(D39=0,D9,ROUND(((((2.71828183^(LN(2.71828183*G23)-G24*2.71828183^(-G25*D39)))))),2))</f>
        <v>8.77</v>
      </c>
      <c r="K39" s="91" t="s">
        <v>15</v>
      </c>
      <c r="L39" s="147"/>
      <c r="M39" s="101">
        <f>ROUND(M38,2)</f>
        <v>80</v>
      </c>
      <c r="N39" s="69">
        <f>ROUND(N38,2)</f>
        <v>84.54</v>
      </c>
      <c r="O39" s="53" t="s">
        <v>24</v>
      </c>
      <c r="P39" s="68">
        <f>IF(M39=0,M9,ROUND(((((2.71828183^(LN(2.71828183*Q3)-Q4*2.71828183^(-Q5*M39)))))),2))</f>
        <v>9.7100000000000009</v>
      </c>
      <c r="Q39" s="103">
        <f>IF(N39=0,N9,ROUND(((((2.71828183^(LN(2.71828183*Q23)-Q24*2.71828183^(-Q25*N39)))))),2))</f>
        <v>8.77</v>
      </c>
    </row>
    <row r="40" spans="1:19" ht="14.4" thickTop="1" thickBot="1" x14ac:dyDescent="0.3">
      <c r="A40" s="148" t="s">
        <v>11</v>
      </c>
      <c r="B40" s="149"/>
      <c r="C40" s="150"/>
      <c r="D40" s="151"/>
      <c r="E40" s="53"/>
      <c r="F40" s="53"/>
      <c r="G40" s="152"/>
      <c r="H40" s="161"/>
      <c r="I40" s="53"/>
      <c r="J40" s="152"/>
      <c r="K40" s="148" t="s">
        <v>11</v>
      </c>
      <c r="L40" s="149"/>
      <c r="M40" s="150"/>
      <c r="N40" s="151"/>
      <c r="O40" s="153"/>
      <c r="P40" s="154"/>
      <c r="Q40" s="154"/>
    </row>
    <row r="41" spans="1:19" ht="14.4" thickTop="1" thickBot="1" x14ac:dyDescent="0.3">
      <c r="A41" s="155" t="s">
        <v>12</v>
      </c>
      <c r="B41" s="156"/>
      <c r="C41" s="156"/>
      <c r="D41" s="157"/>
      <c r="E41" s="158"/>
      <c r="F41" s="159"/>
      <c r="G41" s="160"/>
      <c r="H41" s="161"/>
      <c r="I41" s="53"/>
      <c r="J41" s="152"/>
      <c r="K41" s="155" t="s">
        <v>12</v>
      </c>
      <c r="L41" s="84"/>
      <c r="M41" s="84"/>
      <c r="N41" s="84"/>
      <c r="O41" s="161"/>
      <c r="P41" s="53"/>
      <c r="Q41" s="53"/>
    </row>
    <row r="42" spans="1:19" ht="13.8" thickTop="1" x14ac:dyDescent="0.25">
      <c r="H42" s="53"/>
      <c r="I42" s="85"/>
      <c r="J42" s="85"/>
      <c r="K42" s="82"/>
      <c r="L42" s="82"/>
      <c r="M42" s="82"/>
      <c r="N42" s="104"/>
      <c r="O42" s="27"/>
    </row>
    <row r="43" spans="1:19" x14ac:dyDescent="0.25">
      <c r="I43" s="85"/>
      <c r="J43" s="85"/>
      <c r="K43" s="85"/>
      <c r="L43" s="85"/>
      <c r="M43" s="85"/>
      <c r="N43" s="27"/>
      <c r="O43" s="27"/>
    </row>
    <row r="44" spans="1:19" x14ac:dyDescent="0.25">
      <c r="I44" s="169"/>
      <c r="J44" s="169"/>
      <c r="K44" s="169"/>
      <c r="L44" s="169"/>
      <c r="M44" s="169"/>
      <c r="N44" s="27"/>
      <c r="O44" s="27"/>
    </row>
    <row r="45" spans="1:19" x14ac:dyDescent="0.25">
      <c r="I45" s="174"/>
      <c r="J45" s="216"/>
      <c r="K45" s="216"/>
      <c r="L45" s="216"/>
      <c r="M45" s="216"/>
    </row>
    <row r="46" spans="1:19" x14ac:dyDescent="0.25">
      <c r="I46" s="67"/>
      <c r="J46" s="180"/>
      <c r="K46" s="180" t="s">
        <v>25</v>
      </c>
      <c r="L46" s="180"/>
      <c r="M46" s="180"/>
    </row>
    <row r="47" spans="1:19" x14ac:dyDescent="0.25">
      <c r="I47" s="185"/>
      <c r="J47" s="179"/>
      <c r="K47" s="179">
        <f>(2.71828183^(-M5*(2.71828183^(-M6*M19)-1)))</f>
        <v>0.36720807687257945</v>
      </c>
      <c r="L47" s="179">
        <f>(2.71828183^(-N5*(2.71828183^(-N6*N19)-1)))</f>
        <v>0.50538819443141025</v>
      </c>
      <c r="M47" s="180"/>
      <c r="N47" s="67"/>
      <c r="O47" s="67"/>
    </row>
    <row r="48" spans="1:19" x14ac:dyDescent="0.25">
      <c r="I48" s="185"/>
      <c r="J48" s="179"/>
      <c r="K48" s="179">
        <f>(2.71828183^(-M5*(2.71828183^(-M6*M11)-1)))</f>
        <v>1</v>
      </c>
      <c r="L48" s="179">
        <f>(2.71828183^(-N5*(2.71828183^(-N6*N11)-1)))</f>
        <v>1</v>
      </c>
      <c r="M48" s="180"/>
      <c r="N48" s="190"/>
      <c r="O48" s="190"/>
    </row>
    <row r="49" spans="10:15" x14ac:dyDescent="0.25">
      <c r="J49" s="180"/>
      <c r="K49" s="180"/>
      <c r="L49" s="180"/>
      <c r="M49" s="180"/>
      <c r="N49" s="190"/>
      <c r="O49" s="190"/>
    </row>
    <row r="50" spans="10:15" x14ac:dyDescent="0.25">
      <c r="J50" s="180"/>
      <c r="K50" s="180"/>
      <c r="L50" s="180"/>
      <c r="M50" s="180"/>
    </row>
    <row r="51" spans="10:15" x14ac:dyDescent="0.25">
      <c r="J51" s="180"/>
      <c r="K51" s="180"/>
      <c r="L51" s="180"/>
      <c r="M51" s="180"/>
    </row>
  </sheetData>
  <sheetProtection algorithmName="SHA-512" hashValue="KAap2/u1qX8fQIYGIdKAiOUo1cCXrFGF01fx7hz+5esio5kqE21z1TekmgS4Y8k9Z8Ey/bVOOw/11nrwg5NPXw==" saltValue="X5v6XWCkZn7eGPQbIU+Whg==" spinCount="100000" sheet="1" objects="1" scenarios="1"/>
  <phoneticPr fontId="2" type="noConversion"/>
  <dataValidations count="4">
    <dataValidation type="decimal" allowBlank="1" showInputMessage="1" showErrorMessage="1" sqref="C37 C11 C36 M11 N11 M12 N12 M13 N13 M14 N14 M36 N36 M37 N37" xr:uid="{2FC0DFE1-70ED-46D2-8C22-5C87CD46B15B}">
      <formula1>0</formula1>
      <formula2>100</formula2>
    </dataValidation>
    <dataValidation type="decimal" allowBlank="1" showInputMessage="1" showErrorMessage="1" sqref="C12" xr:uid="{6B04B903-F8D5-43E4-838C-F09514C21CB1}">
      <formula1>C11</formula1>
      <formula2>C13</formula2>
    </dataValidation>
    <dataValidation type="decimal" allowBlank="1" showInputMessage="1" showErrorMessage="1" sqref="C13" xr:uid="{DB87AD0D-5C33-4D99-9A5C-8FE2AFC4B338}">
      <formula1>C11</formula1>
      <formula2>100</formula2>
    </dataValidation>
    <dataValidation type="decimal" allowBlank="1" showInputMessage="1" showErrorMessage="1" sqref="C14" xr:uid="{9345276B-8D59-42A6-BE17-6F13AB0E0F1C}">
      <formula1>C13</formula1>
      <formula2>100</formula2>
    </dataValidation>
  </dataValidations>
  <pageMargins left="0.78740157499999996" right="0.78740157499999996" top="0.984251969" bottom="0.984251969" header="0.4921259845" footer="0.4921259845"/>
  <headerFooter alignWithMargins="0"/>
  <ignoredErrors>
    <ignoredError sqref="F12:G12"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EINFÜHRUNG</vt:lpstr>
      <vt:lpstr>TABELLE 1 (CH)</vt:lpstr>
      <vt:lpstr> TABELLE 2 (RU)</vt:lpstr>
      <vt:lpstr>TABELLE 3 (USA)</vt:lpstr>
      <vt:lpstr>EINFÜHRUNG!Druckbereich</vt:lpstr>
    </vt:vector>
  </TitlesOfParts>
  <Company>WB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Heinz Bangerter</dc:creator>
  <cp:lastModifiedBy>Heinz</cp:lastModifiedBy>
  <cp:lastPrinted>2018-09-13T15:55:58Z</cp:lastPrinted>
  <dcterms:created xsi:type="dcterms:W3CDTF">2010-10-23T11:26:03Z</dcterms:created>
  <dcterms:modified xsi:type="dcterms:W3CDTF">2018-09-13T16:17:02Z</dcterms:modified>
</cp:coreProperties>
</file>