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nz\Desktop\"/>
    </mc:Choice>
  </mc:AlternateContent>
  <xr:revisionPtr revIDLastSave="0" documentId="13_ncr:1_{759B03C7-E1D1-4726-96CE-76D07990F57E}" xr6:coauthVersionLast="28" xr6:coauthVersionMax="28" xr10:uidLastSave="{00000000-0000-0000-0000-000000000000}"/>
  <bookViews>
    <workbookView xWindow="0" yWindow="0" windowWidth="23040" windowHeight="9048" xr2:uid="{00000000-000D-0000-FFFF-FFFF00000000}"/>
  </bookViews>
  <sheets>
    <sheet name="Tabelle1" sheetId="1" r:id="rId1"/>
    <sheet name="Tabelle2" sheetId="2" r:id="rId2"/>
    <sheet name="Tabelle3" sheetId="3" r:id="rId3"/>
  </sheets>
  <calcPr calcId="171027"/>
</workbook>
</file>

<file path=xl/calcChain.xml><?xml version="1.0" encoding="utf-8"?>
<calcChain xmlns="http://schemas.openxmlformats.org/spreadsheetml/2006/main">
  <c r="V98" i="1" l="1"/>
  <c r="M105" i="1" l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E70" i="1" l="1"/>
  <c r="Q103" i="1" s="1"/>
  <c r="D103" i="1" s="1"/>
  <c r="V103" i="1" s="1"/>
  <c r="T103" i="1" s="1"/>
  <c r="S103" i="1" s="1"/>
  <c r="U103" i="1" s="1"/>
  <c r="H103" i="1" s="1"/>
  <c r="V106" i="1"/>
  <c r="W106" i="1"/>
  <c r="Q81" i="2"/>
  <c r="V81" i="2"/>
  <c r="T81" i="2"/>
  <c r="Q80" i="2"/>
  <c r="V80" i="2"/>
  <c r="T80" i="2"/>
  <c r="Q100" i="2"/>
  <c r="Q85" i="2"/>
  <c r="Q88" i="2"/>
  <c r="Q105" i="2"/>
  <c r="Q104" i="2"/>
  <c r="Q103" i="2"/>
  <c r="Q102" i="2"/>
  <c r="Q101" i="2"/>
  <c r="Q99" i="2"/>
  <c r="Q98" i="2"/>
  <c r="Q97" i="2"/>
  <c r="Q96" i="2"/>
  <c r="Q95" i="2"/>
  <c r="Q94" i="2"/>
  <c r="Q93" i="2"/>
  <c r="Q92" i="2"/>
  <c r="Q91" i="2"/>
  <c r="Q90" i="2"/>
  <c r="Q89" i="2"/>
  <c r="Q87" i="2"/>
  <c r="Q86" i="2"/>
  <c r="Q84" i="2"/>
  <c r="Q83" i="2"/>
  <c r="Q82" i="2"/>
  <c r="V104" i="2"/>
  <c r="T104" i="2"/>
  <c r="S104" i="2"/>
  <c r="W104" i="2"/>
  <c r="X104" i="2"/>
  <c r="R104" i="2"/>
  <c r="Y104" i="2"/>
  <c r="V103" i="2"/>
  <c r="T103" i="2"/>
  <c r="S103" i="2"/>
  <c r="U103" i="2"/>
  <c r="W103" i="2"/>
  <c r="X103" i="2"/>
  <c r="R103" i="2"/>
  <c r="Y103" i="2"/>
  <c r="V102" i="2"/>
  <c r="T102" i="2"/>
  <c r="S102" i="2"/>
  <c r="X102" i="2"/>
  <c r="R102" i="2"/>
  <c r="Y102" i="2"/>
  <c r="V101" i="2"/>
  <c r="T101" i="2"/>
  <c r="S101" i="2"/>
  <c r="X101" i="2"/>
  <c r="R101" i="2"/>
  <c r="Y101" i="2"/>
  <c r="V100" i="2"/>
  <c r="T100" i="2"/>
  <c r="S100" i="2"/>
  <c r="X100" i="2"/>
  <c r="R100" i="2"/>
  <c r="Y100" i="2"/>
  <c r="V99" i="2"/>
  <c r="T99" i="2"/>
  <c r="S99" i="2"/>
  <c r="X99" i="2"/>
  <c r="R99" i="2"/>
  <c r="Y99" i="2"/>
  <c r="V98" i="2"/>
  <c r="T98" i="2"/>
  <c r="S98" i="2"/>
  <c r="X98" i="2"/>
  <c r="R98" i="2"/>
  <c r="Y98" i="2"/>
  <c r="V97" i="2"/>
  <c r="T97" i="2"/>
  <c r="S97" i="2"/>
  <c r="X97" i="2"/>
  <c r="R97" i="2"/>
  <c r="Y97" i="2"/>
  <c r="V96" i="2"/>
  <c r="T96" i="2"/>
  <c r="S96" i="2"/>
  <c r="X96" i="2"/>
  <c r="R96" i="2"/>
  <c r="Y96" i="2"/>
  <c r="V95" i="2"/>
  <c r="T95" i="2"/>
  <c r="S95" i="2"/>
  <c r="X95" i="2"/>
  <c r="R95" i="2"/>
  <c r="Y95" i="2"/>
  <c r="V94" i="2"/>
  <c r="T94" i="2"/>
  <c r="S94" i="2"/>
  <c r="X94" i="2"/>
  <c r="R94" i="2"/>
  <c r="Y94" i="2"/>
  <c r="V93" i="2"/>
  <c r="T93" i="2"/>
  <c r="S93" i="2"/>
  <c r="X93" i="2"/>
  <c r="R93" i="2"/>
  <c r="Y93" i="2"/>
  <c r="V92" i="2"/>
  <c r="T92" i="2"/>
  <c r="S92" i="2"/>
  <c r="X92" i="2"/>
  <c r="R92" i="2"/>
  <c r="Y92" i="2"/>
  <c r="V91" i="2"/>
  <c r="T91" i="2"/>
  <c r="S91" i="2"/>
  <c r="X91" i="2"/>
  <c r="R91" i="2"/>
  <c r="Y91" i="2"/>
  <c r="V90" i="2"/>
  <c r="T90" i="2"/>
  <c r="S90" i="2"/>
  <c r="X90" i="2"/>
  <c r="R90" i="2"/>
  <c r="Y90" i="2"/>
  <c r="V89" i="2"/>
  <c r="T89" i="2"/>
  <c r="S89" i="2"/>
  <c r="X89" i="2"/>
  <c r="R89" i="2"/>
  <c r="Y89" i="2"/>
  <c r="V88" i="2"/>
  <c r="T88" i="2"/>
  <c r="S88" i="2"/>
  <c r="X88" i="2"/>
  <c r="R88" i="2"/>
  <c r="Y88" i="2"/>
  <c r="V87" i="2"/>
  <c r="T87" i="2"/>
  <c r="S87" i="2"/>
  <c r="X87" i="2"/>
  <c r="R87" i="2"/>
  <c r="Y87" i="2"/>
  <c r="V86" i="2"/>
  <c r="T86" i="2"/>
  <c r="S86" i="2"/>
  <c r="X86" i="2"/>
  <c r="R86" i="2"/>
  <c r="Y86" i="2"/>
  <c r="V85" i="2"/>
  <c r="T85" i="2"/>
  <c r="S85" i="2"/>
  <c r="X85" i="2"/>
  <c r="R85" i="2"/>
  <c r="Y85" i="2"/>
  <c r="V84" i="2"/>
  <c r="T84" i="2"/>
  <c r="S84" i="2"/>
  <c r="X84" i="2"/>
  <c r="R84" i="2"/>
  <c r="Y84" i="2"/>
  <c r="V83" i="2"/>
  <c r="T83" i="2"/>
  <c r="S83" i="2"/>
  <c r="X83" i="2"/>
  <c r="R83" i="2"/>
  <c r="Y83" i="2"/>
  <c r="V82" i="2"/>
  <c r="T82" i="2"/>
  <c r="S82" i="2"/>
  <c r="X82" i="2"/>
  <c r="R82" i="2"/>
  <c r="Y82" i="2"/>
  <c r="S81" i="2"/>
  <c r="W81" i="2"/>
  <c r="X81" i="2"/>
  <c r="Y106" i="2"/>
  <c r="X106" i="2"/>
  <c r="U106" i="2"/>
  <c r="V106" i="2"/>
  <c r="W106" i="2"/>
  <c r="R81" i="2"/>
  <c r="Y81" i="2"/>
  <c r="R105" i="2"/>
  <c r="V105" i="2"/>
  <c r="T105" i="2"/>
  <c r="S105" i="2"/>
  <c r="R80" i="2"/>
  <c r="Y105" i="2"/>
  <c r="X105" i="2"/>
  <c r="S80" i="2"/>
  <c r="W80" i="2"/>
  <c r="U80" i="2"/>
  <c r="X80" i="2"/>
  <c r="R137" i="3"/>
  <c r="S137" i="3"/>
  <c r="Q103" i="3"/>
  <c r="R103" i="3"/>
  <c r="Q137" i="3"/>
  <c r="R136" i="3"/>
  <c r="S136" i="3"/>
  <c r="Q102" i="3"/>
  <c r="R102" i="3"/>
  <c r="Q136" i="3"/>
  <c r="R135" i="3"/>
  <c r="Q101" i="3"/>
  <c r="R101" i="3"/>
  <c r="S135" i="3"/>
  <c r="Q135" i="3"/>
  <c r="R134" i="3"/>
  <c r="S134" i="3"/>
  <c r="Q100" i="3"/>
  <c r="R100" i="3"/>
  <c r="Q134" i="3"/>
  <c r="R133" i="3"/>
  <c r="S133" i="3"/>
  <c r="Q99" i="3"/>
  <c r="R99" i="3"/>
  <c r="Q133" i="3"/>
  <c r="R132" i="3"/>
  <c r="Q98" i="3"/>
  <c r="R98" i="3"/>
  <c r="S132" i="3"/>
  <c r="Q132" i="3"/>
  <c r="R131" i="3"/>
  <c r="Q97" i="3"/>
  <c r="R97" i="3"/>
  <c r="S131" i="3"/>
  <c r="Q131" i="3"/>
  <c r="R130" i="3"/>
  <c r="S130" i="3"/>
  <c r="Q96" i="3"/>
  <c r="R96" i="3"/>
  <c r="Q130" i="3"/>
  <c r="R129" i="3"/>
  <c r="S129" i="3"/>
  <c r="Q95" i="3"/>
  <c r="R95" i="3"/>
  <c r="Q129" i="3"/>
  <c r="R128" i="3"/>
  <c r="S128" i="3"/>
  <c r="Q94" i="3"/>
  <c r="R94" i="3"/>
  <c r="Q128" i="3"/>
  <c r="R127" i="3"/>
  <c r="Q93" i="3"/>
  <c r="R93" i="3"/>
  <c r="S127" i="3"/>
  <c r="Q127" i="3"/>
  <c r="R126" i="3"/>
  <c r="S126" i="3"/>
  <c r="Q92" i="3"/>
  <c r="R92" i="3"/>
  <c r="Q126" i="3"/>
  <c r="R125" i="3"/>
  <c r="S125" i="3"/>
  <c r="Q91" i="3"/>
  <c r="R91" i="3"/>
  <c r="Q125" i="3"/>
  <c r="R124" i="3"/>
  <c r="Q90" i="3"/>
  <c r="R90" i="3"/>
  <c r="S124" i="3"/>
  <c r="Q124" i="3"/>
  <c r="R123" i="3"/>
  <c r="Q89" i="3"/>
  <c r="R89" i="3"/>
  <c r="S123" i="3"/>
  <c r="Q123" i="3"/>
  <c r="R122" i="3"/>
  <c r="Q88" i="3"/>
  <c r="R88" i="3"/>
  <c r="S122" i="3"/>
  <c r="Q122" i="3"/>
  <c r="R121" i="3"/>
  <c r="S121" i="3"/>
  <c r="Q87" i="3"/>
  <c r="R87" i="3"/>
  <c r="Q121" i="3"/>
  <c r="R120" i="3"/>
  <c r="S120" i="3"/>
  <c r="Q86" i="3"/>
  <c r="R86" i="3"/>
  <c r="Q120" i="3"/>
  <c r="R119" i="3"/>
  <c r="Q85" i="3"/>
  <c r="R85" i="3"/>
  <c r="S119" i="3"/>
  <c r="Q119" i="3"/>
  <c r="R118" i="3"/>
  <c r="S118" i="3"/>
  <c r="Q84" i="3"/>
  <c r="R84" i="3"/>
  <c r="Q118" i="3"/>
  <c r="R117" i="3"/>
  <c r="S117" i="3"/>
  <c r="Q83" i="3"/>
  <c r="R83" i="3"/>
  <c r="Q117" i="3"/>
  <c r="R116" i="3"/>
  <c r="Q82" i="3"/>
  <c r="R82" i="3"/>
  <c r="S116" i="3"/>
  <c r="Q116" i="3"/>
  <c r="R115" i="3"/>
  <c r="Q81" i="3"/>
  <c r="R81" i="3"/>
  <c r="S115" i="3"/>
  <c r="Q115" i="3"/>
  <c r="R114" i="3"/>
  <c r="Q80" i="3"/>
  <c r="R80" i="3"/>
  <c r="S114" i="3"/>
  <c r="Q114" i="3"/>
  <c r="Q105" i="3"/>
  <c r="V105" i="3"/>
  <c r="T105" i="3"/>
  <c r="S105" i="3"/>
  <c r="R105" i="3"/>
  <c r="Y105" i="3"/>
  <c r="X105" i="3"/>
  <c r="S104" i="3"/>
  <c r="Q104" i="3"/>
  <c r="R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V80" i="3"/>
  <c r="T80" i="3"/>
  <c r="S80" i="3"/>
  <c r="W80" i="3"/>
  <c r="U80" i="3"/>
  <c r="Y80" i="3"/>
  <c r="X80" i="3"/>
  <c r="Y80" i="2"/>
  <c r="U90" i="2"/>
  <c r="W90" i="2"/>
  <c r="U105" i="2"/>
  <c r="W105" i="2"/>
  <c r="U84" i="2"/>
  <c r="W84" i="2"/>
  <c r="U92" i="2"/>
  <c r="W92" i="2"/>
  <c r="U100" i="2"/>
  <c r="W100" i="2"/>
  <c r="U82" i="2"/>
  <c r="W82" i="2"/>
  <c r="U87" i="2"/>
  <c r="W87" i="2"/>
  <c r="U89" i="2"/>
  <c r="W89" i="2"/>
  <c r="U97" i="2"/>
  <c r="W97" i="2"/>
  <c r="W102" i="2"/>
  <c r="U102" i="2"/>
  <c r="U98" i="2"/>
  <c r="W98" i="2"/>
  <c r="W95" i="2"/>
  <c r="U95" i="2"/>
  <c r="W86" i="2"/>
  <c r="U86" i="2"/>
  <c r="U94" i="2"/>
  <c r="W94" i="2"/>
  <c r="U83" i="2"/>
  <c r="W83" i="2"/>
  <c r="U91" i="2"/>
  <c r="W91" i="2"/>
  <c r="U99" i="2"/>
  <c r="W99" i="2"/>
  <c r="W105" i="3"/>
  <c r="U105" i="3"/>
  <c r="U88" i="2"/>
  <c r="W88" i="2"/>
  <c r="U96" i="2"/>
  <c r="W96" i="2"/>
  <c r="U85" i="2"/>
  <c r="W85" i="2"/>
  <c r="U93" i="2"/>
  <c r="W93" i="2"/>
  <c r="U101" i="2"/>
  <c r="W101" i="2"/>
  <c r="U81" i="2"/>
  <c r="U104" i="2"/>
  <c r="Q93" i="1" l="1"/>
  <c r="P93" i="1" s="1"/>
  <c r="R93" i="1" s="1"/>
  <c r="Z93" i="1" s="1"/>
  <c r="AA93" i="1" s="1"/>
  <c r="B93" i="1" s="1"/>
  <c r="C93" i="1" s="1"/>
  <c r="Q83" i="1"/>
  <c r="Q89" i="1"/>
  <c r="P89" i="1" s="1"/>
  <c r="R89" i="1" s="1"/>
  <c r="Z89" i="1" s="1"/>
  <c r="AA89" i="1" s="1"/>
  <c r="B89" i="1" s="1"/>
  <c r="C89" i="1" s="1"/>
  <c r="Q88" i="1"/>
  <c r="Q102" i="1"/>
  <c r="Q84" i="1"/>
  <c r="Q90" i="1"/>
  <c r="D90" i="1" s="1"/>
  <c r="V90" i="1" s="1"/>
  <c r="T90" i="1" s="1"/>
  <c r="S90" i="1" s="1"/>
  <c r="W90" i="1" s="1"/>
  <c r="Q97" i="1"/>
  <c r="Q98" i="1"/>
  <c r="D98" i="1" s="1"/>
  <c r="Q104" i="1"/>
  <c r="Q95" i="1"/>
  <c r="N95" i="1" s="1"/>
  <c r="O95" i="1" s="1"/>
  <c r="F95" i="1" s="1"/>
  <c r="Q82" i="1"/>
  <c r="Q94" i="1"/>
  <c r="Q92" i="1"/>
  <c r="J59" i="1"/>
  <c r="Q105" i="1"/>
  <c r="N105" i="1" s="1"/>
  <c r="O105" i="1" s="1"/>
  <c r="Q85" i="1"/>
  <c r="Q96" i="1"/>
  <c r="Q86" i="1"/>
  <c r="Q81" i="1"/>
  <c r="N81" i="1" s="1"/>
  <c r="O81" i="1" s="1"/>
  <c r="Q100" i="1"/>
  <c r="N100" i="1" s="1"/>
  <c r="O100" i="1" s="1"/>
  <c r="F100" i="1" s="1"/>
  <c r="Q101" i="1"/>
  <c r="Q99" i="1"/>
  <c r="P99" i="1" s="1"/>
  <c r="R99" i="1" s="1"/>
  <c r="Z99" i="1" s="1"/>
  <c r="AA99" i="1" s="1"/>
  <c r="Q80" i="1"/>
  <c r="P80" i="1" s="1"/>
  <c r="R80" i="1" s="1"/>
  <c r="Z80" i="1" s="1"/>
  <c r="AA80" i="1" s="1"/>
  <c r="B80" i="1" s="1"/>
  <c r="Q87" i="1"/>
  <c r="P87" i="1" s="1"/>
  <c r="R87" i="1" s="1"/>
  <c r="Z87" i="1" s="1"/>
  <c r="AA87" i="1" s="1"/>
  <c r="B87" i="1" s="1"/>
  <c r="C87" i="1" s="1"/>
  <c r="Q91" i="1"/>
  <c r="N103" i="1"/>
  <c r="O103" i="1" s="1"/>
  <c r="F103" i="1" s="1"/>
  <c r="P103" i="1"/>
  <c r="R103" i="1" s="1"/>
  <c r="Z103" i="1" s="1"/>
  <c r="AA103" i="1" s="1"/>
  <c r="B103" i="1" s="1"/>
  <c r="C103" i="1" s="1"/>
  <c r="P100" i="1"/>
  <c r="R100" i="1" s="1"/>
  <c r="Z100" i="1" s="1"/>
  <c r="AA100" i="1" s="1"/>
  <c r="B100" i="1" s="1"/>
  <c r="C100" i="1" s="1"/>
  <c r="D84" i="1"/>
  <c r="N89" i="1"/>
  <c r="O89" i="1" s="1"/>
  <c r="P90" i="1"/>
  <c r="R90" i="1" s="1"/>
  <c r="Z90" i="1" s="1"/>
  <c r="AA90" i="1" s="1"/>
  <c r="B90" i="1" s="1"/>
  <c r="C90" i="1" s="1"/>
  <c r="D89" i="1"/>
  <c r="X103" i="1"/>
  <c r="W103" i="1"/>
  <c r="N93" i="1" l="1"/>
  <c r="O93" i="1" s="1"/>
  <c r="F93" i="1" s="1"/>
  <c r="D100" i="1"/>
  <c r="V100" i="1" s="1"/>
  <c r="T100" i="1" s="1"/>
  <c r="S100" i="1" s="1"/>
  <c r="W100" i="1" s="1"/>
  <c r="P95" i="1"/>
  <c r="R95" i="1" s="1"/>
  <c r="Z95" i="1" s="1"/>
  <c r="AA95" i="1" s="1"/>
  <c r="B95" i="1" s="1"/>
  <c r="C95" i="1" s="1"/>
  <c r="N90" i="1"/>
  <c r="O90" i="1" s="1"/>
  <c r="N87" i="1"/>
  <c r="O87" i="1" s="1"/>
  <c r="D99" i="1"/>
  <c r="V99" i="1" s="1"/>
  <c r="T99" i="1" s="1"/>
  <c r="S99" i="1" s="1"/>
  <c r="U99" i="1" s="1"/>
  <c r="H99" i="1" s="1"/>
  <c r="Y106" i="1"/>
  <c r="X106" i="1" s="1"/>
  <c r="U106" i="1" s="1"/>
  <c r="N99" i="1"/>
  <c r="O99" i="1" s="1"/>
  <c r="F99" i="1" s="1"/>
  <c r="B99" i="1"/>
  <c r="C99" i="1" s="1"/>
  <c r="D95" i="1"/>
  <c r="D87" i="1"/>
  <c r="T98" i="1"/>
  <c r="S98" i="1" s="1"/>
  <c r="U98" i="1" s="1"/>
  <c r="H98" i="1" s="1"/>
  <c r="X98" i="1" s="1"/>
  <c r="D80" i="1"/>
  <c r="V80" i="1" s="1"/>
  <c r="T80" i="1" s="1"/>
  <c r="S80" i="1" s="1"/>
  <c r="P97" i="1"/>
  <c r="R97" i="1" s="1"/>
  <c r="Z97" i="1" s="1"/>
  <c r="AA97" i="1" s="1"/>
  <c r="B97" i="1" s="1"/>
  <c r="C97" i="1" s="1"/>
  <c r="N97" i="1"/>
  <c r="O97" i="1" s="1"/>
  <c r="D97" i="1"/>
  <c r="U90" i="1"/>
  <c r="H90" i="1" s="1"/>
  <c r="X90" i="1" s="1"/>
  <c r="F81" i="1"/>
  <c r="D93" i="1"/>
  <c r="V93" i="1" s="1"/>
  <c r="T93" i="1" s="1"/>
  <c r="S93" i="1" s="1"/>
  <c r="P101" i="1"/>
  <c r="R101" i="1" s="1"/>
  <c r="Z101" i="1" s="1"/>
  <c r="AA101" i="1" s="1"/>
  <c r="B101" i="1" s="1"/>
  <c r="C101" i="1" s="1"/>
  <c r="N101" i="1"/>
  <c r="O101" i="1" s="1"/>
  <c r="D101" i="1"/>
  <c r="N92" i="1"/>
  <c r="O92" i="1" s="1"/>
  <c r="D92" i="1"/>
  <c r="P92" i="1"/>
  <c r="R92" i="1" s="1"/>
  <c r="Z92" i="1" s="1"/>
  <c r="AA92" i="1" s="1"/>
  <c r="B92" i="1" s="1"/>
  <c r="C92" i="1" s="1"/>
  <c r="P84" i="1"/>
  <c r="R84" i="1" s="1"/>
  <c r="Z84" i="1" s="1"/>
  <c r="AA84" i="1" s="1"/>
  <c r="B84" i="1" s="1"/>
  <c r="C84" i="1" s="1"/>
  <c r="N84" i="1"/>
  <c r="O84" i="1" s="1"/>
  <c r="F105" i="1"/>
  <c r="P94" i="1"/>
  <c r="R94" i="1" s="1"/>
  <c r="Z94" i="1" s="1"/>
  <c r="AA94" i="1" s="1"/>
  <c r="B94" i="1" s="1"/>
  <c r="C94" i="1" s="1"/>
  <c r="N94" i="1"/>
  <c r="O94" i="1" s="1"/>
  <c r="D94" i="1"/>
  <c r="D102" i="1"/>
  <c r="P102" i="1"/>
  <c r="R102" i="1" s="1"/>
  <c r="Z102" i="1" s="1"/>
  <c r="AA102" i="1" s="1"/>
  <c r="B102" i="1" s="1"/>
  <c r="C102" i="1" s="1"/>
  <c r="N102" i="1"/>
  <c r="O102" i="1" s="1"/>
  <c r="W99" i="1"/>
  <c r="P105" i="1"/>
  <c r="R105" i="1" s="1"/>
  <c r="Z105" i="1" s="1"/>
  <c r="AA105" i="1" s="1"/>
  <c r="B105" i="1" s="1"/>
  <c r="C105" i="1" s="1"/>
  <c r="N80" i="1"/>
  <c r="O80" i="1" s="1"/>
  <c r="D81" i="1"/>
  <c r="V81" i="1" s="1"/>
  <c r="T81" i="1" s="1"/>
  <c r="S81" i="1" s="1"/>
  <c r="P81" i="1"/>
  <c r="R81" i="1" s="1"/>
  <c r="Z81" i="1" s="1"/>
  <c r="AA81" i="1" s="1"/>
  <c r="B81" i="1" s="1"/>
  <c r="C81" i="1" s="1"/>
  <c r="D82" i="1"/>
  <c r="V82" i="1" s="1"/>
  <c r="T82" i="1" s="1"/>
  <c r="S82" i="1" s="1"/>
  <c r="N82" i="1"/>
  <c r="O82" i="1" s="1"/>
  <c r="P82" i="1"/>
  <c r="R82" i="1" s="1"/>
  <c r="Z82" i="1" s="1"/>
  <c r="AA82" i="1" s="1"/>
  <c r="B82" i="1" s="1"/>
  <c r="C82" i="1" s="1"/>
  <c r="P88" i="1"/>
  <c r="R88" i="1" s="1"/>
  <c r="Z88" i="1" s="1"/>
  <c r="AA88" i="1" s="1"/>
  <c r="B88" i="1" s="1"/>
  <c r="C88" i="1" s="1"/>
  <c r="D88" i="1"/>
  <c r="N88" i="1"/>
  <c r="O88" i="1" s="1"/>
  <c r="D86" i="1"/>
  <c r="P86" i="1"/>
  <c r="R86" i="1" s="1"/>
  <c r="Z86" i="1" s="1"/>
  <c r="AA86" i="1" s="1"/>
  <c r="B86" i="1" s="1"/>
  <c r="C86" i="1" s="1"/>
  <c r="N86" i="1"/>
  <c r="O86" i="1" s="1"/>
  <c r="D105" i="1"/>
  <c r="V105" i="1" s="1"/>
  <c r="T105" i="1" s="1"/>
  <c r="S105" i="1" s="1"/>
  <c r="N91" i="1"/>
  <c r="O91" i="1" s="1"/>
  <c r="D91" i="1"/>
  <c r="V91" i="1" s="1"/>
  <c r="T91" i="1" s="1"/>
  <c r="S91" i="1" s="1"/>
  <c r="P91" i="1"/>
  <c r="R91" i="1" s="1"/>
  <c r="Z91" i="1" s="1"/>
  <c r="AA91" i="1" s="1"/>
  <c r="B91" i="1" s="1"/>
  <c r="C91" i="1" s="1"/>
  <c r="P96" i="1"/>
  <c r="R96" i="1" s="1"/>
  <c r="Z96" i="1" s="1"/>
  <c r="AA96" i="1" s="1"/>
  <c r="B96" i="1" s="1"/>
  <c r="C96" i="1" s="1"/>
  <c r="N96" i="1"/>
  <c r="O96" i="1" s="1"/>
  <c r="D96" i="1"/>
  <c r="P104" i="1"/>
  <c r="R104" i="1" s="1"/>
  <c r="Z104" i="1" s="1"/>
  <c r="AA104" i="1" s="1"/>
  <c r="B104" i="1" s="1"/>
  <c r="C104" i="1" s="1"/>
  <c r="D104" i="1"/>
  <c r="N104" i="1"/>
  <c r="O104" i="1" s="1"/>
  <c r="P83" i="1"/>
  <c r="R83" i="1" s="1"/>
  <c r="Z83" i="1" s="1"/>
  <c r="AA83" i="1" s="1"/>
  <c r="B83" i="1" s="1"/>
  <c r="C83" i="1" s="1"/>
  <c r="N83" i="1"/>
  <c r="O83" i="1" s="1"/>
  <c r="D83" i="1"/>
  <c r="V83" i="1" s="1"/>
  <c r="T83" i="1" s="1"/>
  <c r="S83" i="1" s="1"/>
  <c r="N85" i="1"/>
  <c r="O85" i="1" s="1"/>
  <c r="P85" i="1"/>
  <c r="R85" i="1" s="1"/>
  <c r="Z85" i="1" s="1"/>
  <c r="AA85" i="1" s="1"/>
  <c r="B85" i="1" s="1"/>
  <c r="C85" i="1" s="1"/>
  <c r="D85" i="1"/>
  <c r="P98" i="1"/>
  <c r="R98" i="1" s="1"/>
  <c r="Z98" i="1" s="1"/>
  <c r="AA98" i="1" s="1"/>
  <c r="B98" i="1" s="1"/>
  <c r="C98" i="1" s="1"/>
  <c r="N98" i="1"/>
  <c r="O98" i="1" s="1"/>
  <c r="E103" i="1"/>
  <c r="Y103" i="1" s="1"/>
  <c r="I103" i="1" s="1"/>
  <c r="G93" i="1"/>
  <c r="G103" i="1"/>
  <c r="F90" i="1"/>
  <c r="G90" i="1" s="1"/>
  <c r="F87" i="1"/>
  <c r="G87" i="1" s="1"/>
  <c r="V95" i="1"/>
  <c r="T95" i="1" s="1"/>
  <c r="S95" i="1" s="1"/>
  <c r="E95" i="1"/>
  <c r="E93" i="1"/>
  <c r="E89" i="1"/>
  <c r="V89" i="1"/>
  <c r="T89" i="1" s="1"/>
  <c r="S89" i="1" s="1"/>
  <c r="F89" i="1"/>
  <c r="G89" i="1" s="1"/>
  <c r="G95" i="1"/>
  <c r="E100" i="1"/>
  <c r="V87" i="1"/>
  <c r="T87" i="1" s="1"/>
  <c r="S87" i="1" s="1"/>
  <c r="E87" i="1"/>
  <c r="V84" i="1"/>
  <c r="T84" i="1" s="1"/>
  <c r="S84" i="1" s="1"/>
  <c r="E90" i="1"/>
  <c r="Y90" i="1" s="1"/>
  <c r="G100" i="1"/>
  <c r="C80" i="1"/>
  <c r="X99" i="1"/>
  <c r="U100" i="1" l="1"/>
  <c r="H100" i="1" s="1"/>
  <c r="X100" i="1" s="1"/>
  <c r="G81" i="1"/>
  <c r="E81" i="1"/>
  <c r="G99" i="1"/>
  <c r="E82" i="1"/>
  <c r="G105" i="1"/>
  <c r="E84" i="1"/>
  <c r="E105" i="1"/>
  <c r="W98" i="1"/>
  <c r="E83" i="1"/>
  <c r="E91" i="1"/>
  <c r="F82" i="1"/>
  <c r="G82" i="1" s="1"/>
  <c r="V101" i="1"/>
  <c r="T101" i="1" s="1"/>
  <c r="S101" i="1" s="1"/>
  <c r="E101" i="1"/>
  <c r="E97" i="1"/>
  <c r="V97" i="1"/>
  <c r="T97" i="1" s="1"/>
  <c r="S97" i="1" s="1"/>
  <c r="V85" i="1"/>
  <c r="T85" i="1" s="1"/>
  <c r="S85" i="1" s="1"/>
  <c r="E85" i="1"/>
  <c r="F86" i="1"/>
  <c r="G86" i="1" s="1"/>
  <c r="U82" i="1"/>
  <c r="H82" i="1" s="1"/>
  <c r="W82" i="1"/>
  <c r="F101" i="1"/>
  <c r="G101" i="1" s="1"/>
  <c r="F97" i="1"/>
  <c r="G97" i="1" s="1"/>
  <c r="V96" i="1"/>
  <c r="T96" i="1" s="1"/>
  <c r="S96" i="1" s="1"/>
  <c r="E96" i="1"/>
  <c r="F102" i="1"/>
  <c r="G102" i="1" s="1"/>
  <c r="F85" i="1"/>
  <c r="G85" i="1" s="1"/>
  <c r="F96" i="1"/>
  <c r="G96" i="1" s="1"/>
  <c r="V86" i="1"/>
  <c r="T86" i="1" s="1"/>
  <c r="S86" i="1" s="1"/>
  <c r="E86" i="1"/>
  <c r="W81" i="1"/>
  <c r="U81" i="1"/>
  <c r="H81" i="1" s="1"/>
  <c r="X81" i="1" s="1"/>
  <c r="F84" i="1"/>
  <c r="G84" i="1" s="1"/>
  <c r="W93" i="1"/>
  <c r="U93" i="1"/>
  <c r="H93" i="1" s="1"/>
  <c r="U80" i="1"/>
  <c r="H80" i="1" s="1"/>
  <c r="X80" i="1" s="1"/>
  <c r="W80" i="1"/>
  <c r="V104" i="1"/>
  <c r="T104" i="1" s="1"/>
  <c r="S104" i="1" s="1"/>
  <c r="E104" i="1"/>
  <c r="E99" i="1"/>
  <c r="Y99" i="1" s="1"/>
  <c r="I99" i="1" s="1"/>
  <c r="U83" i="1"/>
  <c r="H83" i="1" s="1"/>
  <c r="W83" i="1"/>
  <c r="F88" i="1"/>
  <c r="G88" i="1" s="1"/>
  <c r="F80" i="1"/>
  <c r="G80" i="1" s="1"/>
  <c r="V102" i="1"/>
  <c r="T102" i="1" s="1"/>
  <c r="S102" i="1" s="1"/>
  <c r="E102" i="1"/>
  <c r="F83" i="1"/>
  <c r="G83" i="1" s="1"/>
  <c r="V88" i="1"/>
  <c r="T88" i="1" s="1"/>
  <c r="S88" i="1" s="1"/>
  <c r="E88" i="1"/>
  <c r="V94" i="1"/>
  <c r="T94" i="1" s="1"/>
  <c r="S94" i="1" s="1"/>
  <c r="E94" i="1"/>
  <c r="W91" i="1"/>
  <c r="U91" i="1"/>
  <c r="H91" i="1" s="1"/>
  <c r="X91" i="1" s="1"/>
  <c r="F94" i="1"/>
  <c r="G94" i="1" s="1"/>
  <c r="V92" i="1"/>
  <c r="T92" i="1" s="1"/>
  <c r="S92" i="1" s="1"/>
  <c r="E92" i="1"/>
  <c r="F98" i="1"/>
  <c r="G98" i="1" s="1"/>
  <c r="F104" i="1"/>
  <c r="G104" i="1" s="1"/>
  <c r="F91" i="1"/>
  <c r="G91" i="1" s="1"/>
  <c r="F92" i="1"/>
  <c r="G92" i="1" s="1"/>
  <c r="E98" i="1"/>
  <c r="Y98" i="1" s="1"/>
  <c r="W84" i="1"/>
  <c r="U84" i="1"/>
  <c r="H84" i="1" s="1"/>
  <c r="W87" i="1"/>
  <c r="U87" i="1"/>
  <c r="H87" i="1" s="1"/>
  <c r="W89" i="1"/>
  <c r="U89" i="1"/>
  <c r="H89" i="1" s="1"/>
  <c r="W95" i="1"/>
  <c r="U95" i="1"/>
  <c r="H95" i="1" s="1"/>
  <c r="E80" i="1"/>
  <c r="W105" i="1"/>
  <c r="U105" i="1"/>
  <c r="H105" i="1" s="1"/>
  <c r="I90" i="1"/>
  <c r="Y100" i="1" l="1"/>
  <c r="I100" i="1" s="1"/>
  <c r="I98" i="1"/>
  <c r="Y80" i="1"/>
  <c r="I80" i="1" s="1"/>
  <c r="U92" i="1"/>
  <c r="H92" i="1" s="1"/>
  <c r="W92" i="1"/>
  <c r="W86" i="1"/>
  <c r="U86" i="1"/>
  <c r="H86" i="1" s="1"/>
  <c r="Y83" i="1"/>
  <c r="X83" i="1"/>
  <c r="U94" i="1"/>
  <c r="H94" i="1" s="1"/>
  <c r="W94" i="1"/>
  <c r="W96" i="1"/>
  <c r="U96" i="1"/>
  <c r="H96" i="1" s="1"/>
  <c r="U101" i="1"/>
  <c r="H101" i="1" s="1"/>
  <c r="W101" i="1"/>
  <c r="U104" i="1"/>
  <c r="H104" i="1" s="1"/>
  <c r="W104" i="1"/>
  <c r="W88" i="1"/>
  <c r="U88" i="1"/>
  <c r="H88" i="1" s="1"/>
  <c r="U102" i="1"/>
  <c r="H102" i="1" s="1"/>
  <c r="W102" i="1"/>
  <c r="Y81" i="1"/>
  <c r="I81" i="1" s="1"/>
  <c r="Y91" i="1"/>
  <c r="I91" i="1" s="1"/>
  <c r="U85" i="1"/>
  <c r="H85" i="1" s="1"/>
  <c r="W85" i="1"/>
  <c r="X82" i="1"/>
  <c r="Y82" i="1"/>
  <c r="X93" i="1"/>
  <c r="Y93" i="1"/>
  <c r="U97" i="1"/>
  <c r="H97" i="1" s="1"/>
  <c r="W97" i="1"/>
  <c r="Y95" i="1"/>
  <c r="X95" i="1"/>
  <c r="Y87" i="1"/>
  <c r="X87" i="1"/>
  <c r="X105" i="1"/>
  <c r="Y105" i="1"/>
  <c r="Y84" i="1"/>
  <c r="X84" i="1"/>
  <c r="X89" i="1"/>
  <c r="Y89" i="1"/>
  <c r="I84" i="1" l="1"/>
  <c r="I93" i="1"/>
  <c r="I83" i="1"/>
  <c r="I95" i="1"/>
  <c r="X94" i="1"/>
  <c r="Y94" i="1"/>
  <c r="X85" i="1"/>
  <c r="Y85" i="1"/>
  <c r="Y104" i="1"/>
  <c r="X104" i="1"/>
  <c r="Y97" i="1"/>
  <c r="X97" i="1"/>
  <c r="Y86" i="1"/>
  <c r="X86" i="1"/>
  <c r="X101" i="1"/>
  <c r="Y101" i="1"/>
  <c r="X96" i="1"/>
  <c r="Y96" i="1"/>
  <c r="X102" i="1"/>
  <c r="Y102" i="1"/>
  <c r="Y92" i="1"/>
  <c r="X92" i="1"/>
  <c r="I82" i="1"/>
  <c r="Y88" i="1"/>
  <c r="X88" i="1"/>
  <c r="I89" i="1"/>
  <c r="I105" i="1"/>
  <c r="I87" i="1"/>
  <c r="I85" i="1" l="1"/>
  <c r="I101" i="1"/>
  <c r="I104" i="1"/>
  <c r="I97" i="1"/>
  <c r="I88" i="1"/>
  <c r="I96" i="1"/>
  <c r="I86" i="1"/>
  <c r="I92" i="1"/>
  <c r="I102" i="1"/>
  <c r="I94" i="1"/>
</calcChain>
</file>

<file path=xl/sharedStrings.xml><?xml version="1.0" encoding="utf-8"?>
<sst xmlns="http://schemas.openxmlformats.org/spreadsheetml/2006/main" count="250" uniqueCount="181">
  <si>
    <t>(SCHWIMMENDE ESTRICHE) AUF DÄMMSCHICHT UND / ODER TRITTSCHALLDÄMMUNG</t>
  </si>
  <si>
    <t>1. Eingaben zum Unterlagsboden / Estrich (UB):</t>
  </si>
  <si>
    <t>E - Modul (E_UB):</t>
  </si>
  <si>
    <t>zul. Biegezug (σ_bz.):</t>
  </si>
  <si>
    <t>N/mm2</t>
  </si>
  <si>
    <t>2. Eingaben zur Dämmung (WD / TSD), max. 3 Typen / Lagen:</t>
  </si>
  <si>
    <t>E - Modul (E1_WD/TSD):</t>
  </si>
  <si>
    <t>Stärke (d1_WD/TSD):</t>
  </si>
  <si>
    <t>mm</t>
  </si>
  <si>
    <t>E - Modul (E2_WD/TSD):</t>
  </si>
  <si>
    <t>Stärke (d2_WD/TSD):</t>
  </si>
  <si>
    <t>E - Modul (E3_WD/TSD):</t>
  </si>
  <si>
    <t>Stärke (d3_WD/TSD):</t>
  </si>
  <si>
    <t>kN</t>
  </si>
  <si>
    <t>Normative Last-Aufstandsfläche (A):</t>
  </si>
  <si>
    <t>mm2</t>
  </si>
  <si>
    <t>E-Modul Halbraum / Erdreich (E_U):</t>
  </si>
  <si>
    <t>3. Eingabe von Randbedingungen:</t>
  </si>
  <si>
    <t>[mm]</t>
  </si>
  <si>
    <t>[kN]</t>
  </si>
  <si>
    <t xml:space="preserve"> [mm]</t>
  </si>
  <si>
    <r>
      <t xml:space="preserve">res. </t>
    </r>
    <r>
      <rPr>
        <sz val="10"/>
        <rFont val="Arial"/>
        <family val="2"/>
      </rPr>
      <t>Σ</t>
    </r>
    <r>
      <rPr>
        <sz val="10"/>
        <rFont val="Arial"/>
        <family val="2"/>
      </rPr>
      <t>s, f(σ_bz)</t>
    </r>
  </si>
  <si>
    <t>[-]</t>
  </si>
  <si>
    <t>Randbereich (a)</t>
  </si>
  <si>
    <t>Hilfswert κ</t>
  </si>
  <si>
    <t>Bettungsmodul (k_B)</t>
  </si>
  <si>
    <t>[MN/m3]</t>
  </si>
  <si>
    <t>Hilfswert lc</t>
  </si>
  <si>
    <t>(Gebrauchslast - Niveau)</t>
  </si>
  <si>
    <t>kN/m2</t>
  </si>
  <si>
    <t>(*nur bei sich durchbiegendem Tragwerk erf.)</t>
  </si>
  <si>
    <t>*Vorhandene Flächenlast (q):</t>
  </si>
  <si>
    <t xml:space="preserve">  aus Schubspannung (τ)</t>
  </si>
  <si>
    <r>
      <t>zul.</t>
    </r>
    <r>
      <rPr>
        <sz val="10"/>
        <rFont val="Symbol"/>
        <family val="1"/>
        <charset val="2"/>
      </rPr>
      <t>j</t>
    </r>
    <r>
      <rPr>
        <sz val="10"/>
        <rFont val="Arial"/>
        <family val="2"/>
      </rPr>
      <t>·Q (τ)</t>
    </r>
  </si>
  <si>
    <t>res. s, f (τ)</t>
  </si>
  <si>
    <t>res. s, f (σ_bz)</t>
  </si>
  <si>
    <t>res. s, f (σ_d)</t>
  </si>
  <si>
    <t xml:space="preserve">BODEN </t>
  </si>
  <si>
    <t xml:space="preserve">                                                              Hilfswerte</t>
  </si>
  <si>
    <t>*Rohdichte des Unterlagsbodens (ρ):</t>
  </si>
  <si>
    <t>kN/m3</t>
  </si>
  <si>
    <t>m'</t>
  </si>
  <si>
    <t>wenn starre Unterkonstruktion, dann L = 0 [m'] einsetzen!</t>
  </si>
  <si>
    <t>mm'</t>
  </si>
  <si>
    <t>Hilfswert γ·α</t>
  </si>
  <si>
    <t>Hilfswert EJ Trgw.</t>
  </si>
  <si>
    <t>[kN·m2]</t>
  </si>
  <si>
    <t>[kN/m2]</t>
  </si>
  <si>
    <t>Hilfswert μ</t>
  </si>
  <si>
    <t>[δ1 /(δ1 +δ2)]</t>
  </si>
  <si>
    <t>Wirkungsradius (R)</t>
  </si>
  <si>
    <t>Hilfswert σ2</t>
  </si>
  <si>
    <t>Hilfswert s1</t>
  </si>
  <si>
    <t>Hilfswert s2</t>
  </si>
  <si>
    <t>Hilfswert s3</t>
  </si>
  <si>
    <r>
      <t>(nur</t>
    </r>
    <r>
      <rPr>
        <sz val="11"/>
        <rFont val="Arial"/>
        <family val="2"/>
      </rPr>
      <t xml:space="preserve"> Nutzlast, auf Gebrauchslast - Niveau)</t>
    </r>
  </si>
  <si>
    <t>(für starre Unterkonstruktion: E_U = 100000 N/mm2 einsetzen!)</t>
  </si>
  <si>
    <r>
      <t xml:space="preserve">5. Zulässige Einzellast (zul. </t>
    </r>
    <r>
      <rPr>
        <b/>
        <sz val="11"/>
        <color indexed="10"/>
        <rFont val="Symbol"/>
        <family val="1"/>
        <charset val="2"/>
      </rPr>
      <t xml:space="preserve">j </t>
    </r>
    <r>
      <rPr>
        <b/>
        <sz val="11"/>
        <color indexed="10"/>
        <rFont val="Arial"/>
        <family val="2"/>
      </rPr>
      <t xml:space="preserve">·Q) im Randbereich, je nach Kriterium und mit daraus resultierender Stauchung (s, </t>
    </r>
    <r>
      <rPr>
        <b/>
        <sz val="11"/>
        <color indexed="10"/>
        <rFont val="Arial"/>
        <family val="2"/>
      </rPr>
      <t>Σ</t>
    </r>
    <r>
      <rPr>
        <b/>
        <sz val="11"/>
        <color indexed="10"/>
        <rFont val="Arial"/>
        <family val="2"/>
      </rPr>
      <t>s):</t>
    </r>
    <r>
      <rPr>
        <b/>
        <sz val="11"/>
        <rFont val="Arial"/>
        <family val="2"/>
      </rPr>
      <t>***</t>
    </r>
  </si>
  <si>
    <t>(*informativ, als Zielvorgabe!)</t>
  </si>
  <si>
    <t>Die gelben Felder erfordern eine Eingabe!</t>
  </si>
  <si>
    <t>*Spannweite/Tragrichtung Tragwerk (Lx):</t>
  </si>
  <si>
    <r>
      <t xml:space="preserve">  zul.</t>
    </r>
    <r>
      <rPr>
        <b/>
        <sz val="11"/>
        <rFont val="Symbol"/>
        <family val="1"/>
        <charset val="2"/>
      </rPr>
      <t>j</t>
    </r>
    <r>
      <rPr>
        <b/>
        <sz val="11"/>
        <rFont val="Arial"/>
        <family val="2"/>
      </rPr>
      <t>·</t>
    </r>
    <r>
      <rPr>
        <b/>
        <sz val="11"/>
        <rFont val="Arial"/>
        <family val="2"/>
      </rPr>
      <t>Q begrenzt durch zul.(σ_d)</t>
    </r>
  </si>
  <si>
    <r>
      <t xml:space="preserve"> zul.</t>
    </r>
    <r>
      <rPr>
        <b/>
        <sz val="11"/>
        <rFont val="Symbol"/>
        <family val="1"/>
        <charset val="2"/>
      </rPr>
      <t>j</t>
    </r>
    <r>
      <rPr>
        <b/>
        <sz val="11"/>
        <rFont val="Arial"/>
        <family val="2"/>
      </rPr>
      <t>·</t>
    </r>
    <r>
      <rPr>
        <b/>
        <sz val="11"/>
        <rFont val="Arial"/>
        <family val="2"/>
      </rPr>
      <t>Q begrenzt durch zul.(σ_bz)</t>
    </r>
  </si>
  <si>
    <r>
      <t>zul.</t>
    </r>
    <r>
      <rPr>
        <b/>
        <sz val="11"/>
        <rFont val="Symbol"/>
        <family val="1"/>
        <charset val="2"/>
      </rPr>
      <t>j</t>
    </r>
    <r>
      <rPr>
        <b/>
        <sz val="11"/>
        <rFont val="Arial"/>
        <family val="2"/>
      </rPr>
      <t>·Q begrenzt durch zul.(τ)</t>
    </r>
  </si>
  <si>
    <r>
      <t xml:space="preserve"> zul.red</t>
    </r>
    <r>
      <rPr>
        <b/>
        <sz val="11"/>
        <rFont val="Symbol"/>
        <family val="1"/>
        <charset val="2"/>
      </rPr>
      <t>j</t>
    </r>
    <r>
      <rPr>
        <b/>
        <sz val="11"/>
        <rFont val="Arial"/>
        <family val="2"/>
      </rPr>
      <t>·Q begrenzt durch zul.(σ_bz)</t>
    </r>
  </si>
  <si>
    <r>
      <t xml:space="preserve">res. </t>
    </r>
    <r>
      <rPr>
        <sz val="10"/>
        <rFont val="Arial"/>
        <family val="2"/>
      </rPr>
      <t>Σ</t>
    </r>
    <r>
      <rPr>
        <sz val="10"/>
        <rFont val="Arial"/>
        <family val="2"/>
      </rPr>
      <t>s, f (σ_bz) [mm]</t>
    </r>
  </si>
  <si>
    <t xml:space="preserve">  zul.(σ_d) nie massgebend, zul.(τ) ~ identisch</t>
  </si>
  <si>
    <t xml:space="preserve"> UNTERLAGS -</t>
  </si>
  <si>
    <t xml:space="preserve">                       RANDBEREICH (RB) STARR GELAGERT</t>
  </si>
  <si>
    <t>4. Hinweise zu den Resultaten:</t>
  </si>
  <si>
    <r>
      <t>●</t>
    </r>
    <r>
      <rPr>
        <sz val="11"/>
        <rFont val="Arial"/>
        <family val="2"/>
      </rPr>
      <t xml:space="preserve"> Der &lt;Feldbereich Nutzplatte&gt; (UB) ist </t>
    </r>
    <r>
      <rPr>
        <u/>
        <sz val="11"/>
        <rFont val="Arial"/>
        <family val="2"/>
      </rPr>
      <t>generell</t>
    </r>
    <r>
      <rPr>
        <sz val="11"/>
        <rFont val="Arial"/>
        <family val="2"/>
      </rPr>
      <t xml:space="preserve"> weder &lt;druckspannungs - bedingt&gt; noch &lt;biegespannungs - bedngt&gt; massgebend für zul.</t>
    </r>
    <r>
      <rPr>
        <sz val="11"/>
        <rFont val="Symbol"/>
        <family val="1"/>
        <charset val="2"/>
      </rPr>
      <t>j</t>
    </r>
    <r>
      <rPr>
        <sz val="11"/>
        <rFont val="Arial"/>
        <family val="2"/>
      </rPr>
      <t>·Q --&gt; kein Nachweis!</t>
    </r>
  </si>
  <si>
    <r>
      <t xml:space="preserve">● </t>
    </r>
    <r>
      <rPr>
        <sz val="11"/>
        <rFont val="Arial"/>
        <family val="2"/>
      </rPr>
      <t>Bei nachgiebigem Tragwerk (</t>
    </r>
    <r>
      <rPr>
        <sz val="11"/>
        <rFont val="Arial"/>
        <family val="2"/>
      </rPr>
      <t>δ</t>
    </r>
    <r>
      <rPr>
        <sz val="11"/>
        <rFont val="Arial"/>
        <family val="2"/>
      </rPr>
      <t xml:space="preserve"> ≤ Lx/300) gelten im &lt;Eckbereich Nutzplatte&gt; </t>
    </r>
    <r>
      <rPr>
        <u/>
        <sz val="11"/>
        <rFont val="Arial"/>
        <family val="2"/>
      </rPr>
      <t>druckspannungs - bedingt</t>
    </r>
    <r>
      <rPr>
        <sz val="11"/>
        <rFont val="Arial"/>
        <family val="2"/>
      </rPr>
      <t xml:space="preserve"> sowie </t>
    </r>
    <r>
      <rPr>
        <u/>
        <sz val="11"/>
        <rFont val="Arial"/>
        <family val="2"/>
      </rPr>
      <t>schubspannungs - bedingt</t>
    </r>
    <r>
      <rPr>
        <sz val="11"/>
        <rFont val="Arial"/>
        <family val="2"/>
      </rPr>
      <t xml:space="preserve"> dieselben zul.</t>
    </r>
    <r>
      <rPr>
        <sz val="11"/>
        <rFont val="Symbol"/>
        <family val="1"/>
        <charset val="2"/>
      </rPr>
      <t>j</t>
    </r>
    <r>
      <rPr>
        <sz val="11"/>
        <rFont val="Arial"/>
        <family val="2"/>
      </rPr>
      <t>·Q wie bei starrer Lagerung</t>
    </r>
  </si>
  <si>
    <r>
      <t xml:space="preserve">(M) = MULTIPLIKATOR </t>
    </r>
    <r>
      <rPr>
        <b/>
        <u/>
        <sz val="11"/>
        <rFont val="Arial"/>
        <family val="2"/>
      </rPr>
      <t>BEI FÜNF NACHBARLASTEN</t>
    </r>
    <r>
      <rPr>
        <b/>
        <sz val="11"/>
        <rFont val="Arial"/>
        <family val="2"/>
      </rPr>
      <t xml:space="preserve"> IM X/Y - ACHSRASTER</t>
    </r>
  </si>
  <si>
    <t xml:space="preserve">      </t>
  </si>
  <si>
    <t xml:space="preserve">                                                              </t>
  </si>
  <si>
    <t xml:space="preserve">Empfohlene Kennwerte je nach Estrich - Typ (UB) und Dämmstoff (WD / TSD) siehe unterhalb der folgenden Tabelle </t>
  </si>
  <si>
    <r>
      <t xml:space="preserve">Kleinste zul. </t>
    </r>
    <r>
      <rPr>
        <sz val="11"/>
        <rFont val="Arial"/>
        <family val="2"/>
      </rPr>
      <t xml:space="preserve">Druckspannung </t>
    </r>
    <r>
      <rPr>
        <b/>
        <sz val="11"/>
        <rFont val="Arial"/>
        <family val="2"/>
      </rPr>
      <t>(</t>
    </r>
    <r>
      <rPr>
        <sz val="11"/>
        <rFont val="Arial"/>
        <family val="2"/>
      </rPr>
      <t>σ_d</t>
    </r>
    <r>
      <rPr>
        <b/>
        <sz val="11"/>
        <rFont val="Arial"/>
        <family val="2"/>
      </rPr>
      <t>):</t>
    </r>
  </si>
  <si>
    <r>
      <t>(</t>
    </r>
    <r>
      <rPr>
        <u/>
        <sz val="11"/>
        <rFont val="Arial"/>
        <family val="2"/>
      </rPr>
      <t>Gebrauchslast - Niveau</t>
    </r>
    <r>
      <rPr>
        <sz val="11"/>
        <rFont val="Arial"/>
        <family val="2"/>
      </rPr>
      <t xml:space="preserve">; inkl. allfälligem Stosszuschlag </t>
    </r>
    <r>
      <rPr>
        <sz val="11"/>
        <rFont val="Symbol"/>
        <family val="1"/>
        <charset val="2"/>
      </rPr>
      <t>j</t>
    </r>
    <r>
      <rPr>
        <sz val="11"/>
        <rFont val="Arial"/>
        <family val="2"/>
      </rPr>
      <t>)</t>
    </r>
  </si>
  <si>
    <t xml:space="preserve">● Aus der Berechnung: Ideeller E - Modul aller Dämmschichten = </t>
  </si>
  <si>
    <r>
      <t xml:space="preserve">Typ </t>
    </r>
    <r>
      <rPr>
        <b/>
        <sz val="11"/>
        <rFont val="Arial"/>
        <family val="2"/>
      </rPr>
      <t>unterste</t>
    </r>
    <r>
      <rPr>
        <sz val="11"/>
        <rFont val="Arial"/>
        <family val="2"/>
      </rPr>
      <t xml:space="preserve"> Lage / Bezeichnung (fakultativ):</t>
    </r>
  </si>
  <si>
    <t>● Alle hier vorliegenden Einträge / Vorhaben sind als Beispiele schreibgeschützt (wiederkehrend) und können für eigene Berechnungen überschrieben werden.</t>
  </si>
  <si>
    <r>
      <t>*Vorhandene Aufstandslast (</t>
    </r>
    <r>
      <rPr>
        <sz val="11"/>
        <color indexed="14"/>
        <rFont val="Symbol"/>
        <family val="1"/>
        <charset val="2"/>
      </rPr>
      <t>j</t>
    </r>
    <r>
      <rPr>
        <sz val="11"/>
        <color indexed="14"/>
        <rFont val="Arial"/>
        <family val="2"/>
      </rPr>
      <t>·Q):</t>
    </r>
  </si>
  <si>
    <r>
      <t>zul.</t>
    </r>
    <r>
      <rPr>
        <b/>
        <sz val="10"/>
        <rFont val="Symbol"/>
        <family val="1"/>
        <charset val="2"/>
      </rPr>
      <t>j</t>
    </r>
    <r>
      <rPr>
        <b/>
        <sz val="10"/>
        <rFont val="Arial"/>
        <family val="2"/>
      </rPr>
      <t>·Q (σ_d)</t>
    </r>
  </si>
  <si>
    <r>
      <t>zul.</t>
    </r>
    <r>
      <rPr>
        <b/>
        <sz val="10"/>
        <rFont val="Symbol"/>
        <family val="1"/>
        <charset val="2"/>
      </rPr>
      <t>j</t>
    </r>
    <r>
      <rPr>
        <b/>
        <sz val="10"/>
        <rFont val="Arial"/>
        <family val="2"/>
      </rPr>
      <t>·Q (σ_bz)</t>
    </r>
  </si>
  <si>
    <r>
      <t>zul.</t>
    </r>
    <r>
      <rPr>
        <b/>
        <sz val="10"/>
        <rFont val="Symbol"/>
        <family val="1"/>
        <charset val="2"/>
      </rPr>
      <t>j</t>
    </r>
    <r>
      <rPr>
        <b/>
        <sz val="10"/>
        <rFont val="Arial"/>
        <family val="2"/>
      </rPr>
      <t>·Q (τ)</t>
    </r>
  </si>
  <si>
    <t>[N/mm2]</t>
  </si>
  <si>
    <t>Ergebnisse gültig für 2500 mm2 ≤ A  ≤ 40000 mm2!!</t>
  </si>
  <si>
    <r>
      <t xml:space="preserve">(des entspr. Dämmstoff - Typs; für </t>
    </r>
    <r>
      <rPr>
        <u/>
        <sz val="11"/>
        <rFont val="Arial"/>
        <family val="2"/>
      </rPr>
      <t>Gebrauchslast - Niveau</t>
    </r>
    <r>
      <rPr>
        <sz val="11"/>
        <rFont val="Arial"/>
        <family val="2"/>
      </rPr>
      <t>)</t>
    </r>
  </si>
  <si>
    <t>Unterlagsböden / Estrich - Typen</t>
  </si>
  <si>
    <t xml:space="preserve">zul. Biegezug </t>
  </si>
  <si>
    <t xml:space="preserve">[N/mm2] </t>
  </si>
  <si>
    <t>Dämmschichten WD und TSD</t>
  </si>
  <si>
    <t>zul. Druckspannung</t>
  </si>
  <si>
    <t>(Auswahl)</t>
  </si>
  <si>
    <t>Isocalor (MF)</t>
  </si>
  <si>
    <t>EPS 300</t>
  </si>
  <si>
    <t>XPS 500</t>
  </si>
  <si>
    <t xml:space="preserve">XPS 700 </t>
  </si>
  <si>
    <t>FOAMGLAS T4+</t>
  </si>
  <si>
    <t>Zementestrich (CT)</t>
  </si>
  <si>
    <t>Zementfliessestrich (CTF)</t>
  </si>
  <si>
    <t>Calziumsulfatestrich (CA)</t>
  </si>
  <si>
    <t>Calziumsulfatfliessestreich (CAF)</t>
  </si>
  <si>
    <t>Kunstharzestrich (SR)</t>
  </si>
  <si>
    <t>E - Modul (Biegung)</t>
  </si>
  <si>
    <t>E - Modul (Druck)</t>
  </si>
  <si>
    <r>
      <t xml:space="preserve"> [</t>
    </r>
    <r>
      <rPr>
        <b/>
        <sz val="10"/>
        <rFont val="Arial"/>
        <family val="2"/>
      </rPr>
      <t>k</t>
    </r>
    <r>
      <rPr>
        <sz val="10"/>
        <rFont val="Arial"/>
        <family val="2"/>
      </rPr>
      <t>N/mm2]</t>
    </r>
  </si>
  <si>
    <t>≥ 4.0</t>
  </si>
  <si>
    <t>PS81 (MF)</t>
  </si>
  <si>
    <t xml:space="preserve"> [N/mm2], Langzeit</t>
  </si>
  <si>
    <t xml:space="preserve">[N/mm2], Langzeit </t>
  </si>
  <si>
    <t>2.0 - 3.0</t>
  </si>
  <si>
    <t>2.0 - 4.0</t>
  </si>
  <si>
    <t>1.5 - 3.0</t>
  </si>
  <si>
    <t>2.5 - 4.0</t>
  </si>
  <si>
    <t>30 - 35</t>
  </si>
  <si>
    <t>30 - 40</t>
  </si>
  <si>
    <t>25 - 35</t>
  </si>
  <si>
    <t>35 - 45</t>
  </si>
  <si>
    <t xml:space="preserve">~ 8 - 12 </t>
  </si>
  <si>
    <t>~ 60 - 100</t>
  </si>
  <si>
    <t>~ 13 - 17</t>
  </si>
  <si>
    <t>0.09 - 0.11</t>
  </si>
  <si>
    <t>Juni 2012 / Ba.</t>
  </si>
  <si>
    <t>(***Bei s resp. Σs handelt es sich um die spezifische Verformung resp. den Abstich des UB, gemessen ab dessen OK - Horizont. Ergebnis immer kleiner als zul.L/300 bei elastischen Tragsystemen)</t>
  </si>
  <si>
    <t>(wenn UB über Edrdreich ohne Dämmstoff, dann zul. Pressung des Erdreichs)</t>
  </si>
  <si>
    <r>
      <t>● Falls bei starrer Lagerung (bzw. Erdreich bis E_U = 100'000 MN/m2) eine Einzellast im &lt;</t>
    </r>
    <r>
      <rPr>
        <u/>
        <sz val="11"/>
        <rFont val="Arial"/>
        <family val="2"/>
      </rPr>
      <t>Eckbereich Nutzplatte</t>
    </r>
    <r>
      <rPr>
        <sz val="11"/>
        <rFont val="Arial"/>
        <family val="2"/>
      </rPr>
      <t xml:space="preserve">&gt; ist (z.B. bei Kreuzfugen), so reduziert sich </t>
    </r>
    <r>
      <rPr>
        <u/>
        <sz val="11"/>
        <rFont val="Arial"/>
        <family val="2"/>
      </rPr>
      <t>druckspannungs - bedingt</t>
    </r>
    <r>
      <rPr>
        <sz val="11"/>
        <rFont val="Arial"/>
        <family val="2"/>
      </rPr>
      <t xml:space="preserve">  zul.</t>
    </r>
    <r>
      <rPr>
        <sz val="11"/>
        <rFont val="Symbol"/>
        <family val="1"/>
        <charset val="2"/>
      </rPr>
      <t>j</t>
    </r>
    <r>
      <rPr>
        <sz val="11"/>
        <rFont val="Arial"/>
        <family val="2"/>
      </rPr>
      <t>·Q gegenüber dem &lt;Rand&gt; auf ca. die Hälfte!</t>
    </r>
  </si>
  <si>
    <r>
      <t>● Falls bei starrer Lagerung  (bzw. Erdreich bis E_U = 100'000 MN/m2) eine Einzellast im &lt;</t>
    </r>
    <r>
      <rPr>
        <u/>
        <sz val="11"/>
        <rFont val="Arial"/>
        <family val="2"/>
      </rPr>
      <t>Eckbereich Nutzplatte</t>
    </r>
    <r>
      <rPr>
        <sz val="11"/>
        <rFont val="Arial"/>
        <family val="2"/>
      </rPr>
      <t>&gt; ist (z.B. bei Kreuzfugen), so ändert sich biegespannungs</t>
    </r>
    <r>
      <rPr>
        <u/>
        <sz val="11"/>
        <rFont val="Arial"/>
        <family val="2"/>
      </rPr>
      <t xml:space="preserve"> - bedingt</t>
    </r>
    <r>
      <rPr>
        <sz val="11"/>
        <rFont val="Arial"/>
        <family val="2"/>
      </rPr>
      <t xml:space="preserve"> der Tabellenwert zul.</t>
    </r>
    <r>
      <rPr>
        <sz val="11"/>
        <rFont val="Symbol"/>
        <family val="1"/>
        <charset val="2"/>
      </rPr>
      <t>j</t>
    </r>
    <r>
      <rPr>
        <sz val="11"/>
        <rFont val="Arial"/>
        <family val="2"/>
      </rPr>
      <t>·Q gegenüber dem &lt;Rand&gt; nicht (Zug oben!)</t>
    </r>
  </si>
  <si>
    <r>
      <t xml:space="preserve">● Bei nachgiebigem Tragwerk (δ ≤ Lx/300) ist der &lt;Eckbereich Nutzplatte&gt; </t>
    </r>
    <r>
      <rPr>
        <u/>
        <sz val="11"/>
        <rFont val="Arial"/>
        <family val="2"/>
      </rPr>
      <t>biegespannungs -bedingt</t>
    </r>
    <r>
      <rPr>
        <sz val="11"/>
        <rFont val="Arial"/>
        <family val="2"/>
      </rPr>
      <t xml:space="preserve"> nicht relevant (keine mittragende Wirkung des UB infolge "Gelenk").</t>
    </r>
  </si>
  <si>
    <t>● Die Multiplikatoren (M; s.Spalte J - M) auf die Lastvorgabe (Spezialfall "Regalfüsse") sind nur in jenem Spaltenbereich gültig, wo sie gleichzeitig mit der Plattenstärke ansteigen; bei gegenläufigem Trend ist zur Ermittlung von (M) statt dessen eine Extrapolation vorzunehmen. Diese Einschränkung ist Formel - bedingt.</t>
  </si>
  <si>
    <t>M [-]</t>
  </si>
  <si>
    <t>Zementestrich CT</t>
  </si>
  <si>
    <t>LURO 814 (MF)</t>
  </si>
  <si>
    <t xml:space="preserve">                                                                                                     RICHTWERTE DER KENNGRÖSSEN VON UNTERLAGSBÖDEN UND DÄMMSTOFFEN</t>
  </si>
  <si>
    <t>ERLÄUTERUNG DER MARKIERTEN BEISPIELFELDER:</t>
  </si>
  <si>
    <t>entfällt mehr Biegespannung auf den UB. --&gt; sichere Seite!</t>
  </si>
  <si>
    <t xml:space="preserve">    TRAGKONSTRUKTION δ=Lx/300 ***</t>
  </si>
  <si>
    <r>
      <t xml:space="preserve">*** Mit hier eingerechnetem </t>
    </r>
    <r>
      <rPr>
        <sz val="8"/>
        <rFont val="Arial"/>
        <family val="2"/>
      </rPr>
      <t>δ</t>
    </r>
    <r>
      <rPr>
        <i/>
        <sz val="8"/>
        <rFont val="Arial"/>
        <family val="2"/>
      </rPr>
      <t>= Lx/300 (statt z.B. Lx/400)</t>
    </r>
  </si>
  <si>
    <t xml:space="preserve">TRAGLASTNACHWEIS VON UNVERDÜBELTEN UND UNBEWEHRTEN UNTERLAGSBÖDEN </t>
  </si>
  <si>
    <t>Gussasphalt (AS)</t>
  </si>
  <si>
    <t>1……...15</t>
  </si>
  <si>
    <t>1.5 - 4.5</t>
  </si>
  <si>
    <t>Beachte: Es sind auch Berechnungen ohne Dämmschicht, z.B. Hallenboden auf Erdreich (E - Modul E_U ~ 20 - 500 MN/m2) möglich!</t>
  </si>
  <si>
    <t>Bei Regalfüssen mit Achsraster X = Y [mm] beachte Multiplikator Spalten J bis M</t>
  </si>
  <si>
    <r>
      <t xml:space="preserve">MASSGEBENDE ZIELVORGABE </t>
    </r>
    <r>
      <rPr>
        <b/>
        <sz val="11"/>
        <rFont val="Arial"/>
        <family val="2"/>
      </rPr>
      <t>Σ</t>
    </r>
    <r>
      <rPr>
        <b/>
        <sz val="11"/>
        <rFont val="Symbol"/>
        <family val="1"/>
        <charset val="2"/>
      </rPr>
      <t>j</t>
    </r>
    <r>
      <rPr>
        <b/>
        <sz val="11"/>
        <rFont val="Arial"/>
        <family val="2"/>
      </rPr>
      <t>·Q_vorh. = (M) x FELD (E48)</t>
    </r>
  </si>
  <si>
    <r>
      <t xml:space="preserve">Liegt der Belag </t>
    </r>
    <r>
      <rPr>
        <u/>
        <sz val="11"/>
        <rFont val="Arial"/>
        <family val="2"/>
      </rPr>
      <t>auf einem nachgiebigem</t>
    </r>
    <r>
      <rPr>
        <sz val="11"/>
        <rFont val="Arial"/>
        <family val="2"/>
      </rPr>
      <t xml:space="preserve"> (Stab -) Tragwerk mit zul. Durchbiegung Lx/300 unter Vollast auf, so wird biegezug - bedingt eine UB - Stärke von 160 mm erforderlich! Negativwerte für zul.red.φ·Q bei sehr schlankem UB bedeuten, dass dessen zul. Biegezugspannung allein schon</t>
    </r>
  </si>
  <si>
    <r>
      <t xml:space="preserve"> </t>
    </r>
    <r>
      <rPr>
        <sz val="11"/>
        <rFont val="Arial"/>
        <family val="2"/>
      </rPr>
      <t>durch den wirksamen Spannungseinfluss der Flächenlast q (Feld E50) überschritten ist!</t>
    </r>
  </si>
  <si>
    <t>Typenwahl / Bezeichnung (fakultativ eintragen):</t>
  </si>
  <si>
    <r>
      <t xml:space="preserve">Typ </t>
    </r>
    <r>
      <rPr>
        <b/>
        <sz val="11"/>
        <rFont val="Arial"/>
        <family val="2"/>
      </rPr>
      <t>oberste</t>
    </r>
    <r>
      <rPr>
        <sz val="11"/>
        <rFont val="Arial"/>
        <family val="2"/>
      </rPr>
      <t xml:space="preserve"> Lage / Bezeichnung (fakultativ):</t>
    </r>
  </si>
  <si>
    <r>
      <t xml:space="preserve">Typ </t>
    </r>
    <r>
      <rPr>
        <b/>
        <sz val="11"/>
        <rFont val="Arial"/>
        <family val="2"/>
      </rPr>
      <t>zweite</t>
    </r>
    <r>
      <rPr>
        <sz val="11"/>
        <rFont val="Arial"/>
        <family val="2"/>
      </rPr>
      <t xml:space="preserve"> Lage / Bezeichnung (fakultativ):</t>
    </r>
  </si>
  <si>
    <r>
      <t xml:space="preserve">Kontrolle </t>
    </r>
    <r>
      <rPr>
        <b/>
        <u/>
        <sz val="11"/>
        <color indexed="10"/>
        <rFont val="Arial"/>
        <family val="2"/>
      </rPr>
      <t>nach</t>
    </r>
    <r>
      <rPr>
        <b/>
        <sz val="11"/>
        <color indexed="10"/>
        <rFont val="Arial"/>
        <family val="2"/>
      </rPr>
      <t xml:space="preserve"> der Berechnung: E_U muss ≥ sein als das E - Dämmstoffmittel laut Feld E70 =</t>
    </r>
  </si>
  <si>
    <t>● Allfällige Negativwerte für zul.φ·Q bezüglich zul.(σ_bz) --&gt; d.h. biegezug - bedingt, sind die Folge einer sehr harten Lagerung (ohne Dämmung auf Beton, Fels etc.) und grundsätzlich nicht relevant (dito Verformungen). Negativwerte für zul.red.φ·Q. (σ_bz) [kN] hingegen bedeuten, dass schon die Flächenlast allein eine Überbeanspruchung im UB bewirkt!</t>
  </si>
  <si>
    <r>
      <t>zul.red.</t>
    </r>
    <r>
      <rPr>
        <b/>
        <sz val="10"/>
        <rFont val="Symbol"/>
        <family val="1"/>
        <charset val="2"/>
      </rPr>
      <t>j</t>
    </r>
    <r>
      <rPr>
        <b/>
        <sz val="10"/>
        <rFont val="Arial"/>
        <family val="2"/>
      </rPr>
      <t>·Q (σ_bz) [kN]</t>
    </r>
  </si>
  <si>
    <t>Schwimmende Estriche UB Traglastnachweis 2 von 2.pdf</t>
  </si>
  <si>
    <r>
      <t>ERGÄNZENDE AUSFÜHRUNGEN FERNER UNTER DEM LINK:</t>
    </r>
    <r>
      <rPr>
        <b/>
        <i/>
        <sz val="11"/>
        <color indexed="12"/>
        <rFont val="Arial"/>
        <family val="2"/>
      </rPr>
      <t xml:space="preserve"> </t>
    </r>
  </si>
  <si>
    <t>Hellgelb nur bei nachgiebigem Tragwerk erforderlich</t>
  </si>
  <si>
    <t>0.059 (0.055*)</t>
  </si>
  <si>
    <t>* kombiniert mit Isocalor</t>
  </si>
  <si>
    <t>0.355 (0.082*;0.172**)</t>
  </si>
  <si>
    <t>** kombiniert mit PS81</t>
  </si>
  <si>
    <r>
      <t xml:space="preserve"> </t>
    </r>
    <r>
      <rPr>
        <sz val="10"/>
        <color indexed="12"/>
        <rFont val="Arial"/>
        <family val="2"/>
      </rPr>
      <t xml:space="preserve">*, ** siehe dazu auch Kommentar in: </t>
    </r>
  </si>
  <si>
    <t>~ 3 - 7</t>
  </si>
  <si>
    <r>
      <t xml:space="preserve">Ausgehend vom fixierten Eingabebeispiel (gelbe Felder) resultiert </t>
    </r>
    <r>
      <rPr>
        <u/>
        <sz val="11"/>
        <rFont val="Arial"/>
        <family val="2"/>
      </rPr>
      <t>auf starrer Unterlage</t>
    </r>
    <r>
      <rPr>
        <sz val="11"/>
        <rFont val="Arial"/>
        <family val="2"/>
      </rPr>
      <t xml:space="preserve"> die Biegezugspannung als bestimmende Grösse, und daraus eine erforderliche Plattenstärke  von 90 mm. </t>
    </r>
  </si>
  <si>
    <t>Hilfswert zu</t>
  </si>
  <si>
    <t>Korrekturfaktor</t>
  </si>
  <si>
    <t>Korrekturfaktor***</t>
  </si>
  <si>
    <t xml:space="preserve">            Anpassung 01. 08. 2012 </t>
  </si>
  <si>
    <r>
      <t xml:space="preserve"> ----&gt; </t>
    </r>
    <r>
      <rPr>
        <sz val="10"/>
        <color indexed="50"/>
        <rFont val="Arial"/>
        <family val="2"/>
      </rPr>
      <t xml:space="preserve">     </t>
    </r>
    <r>
      <rPr>
        <u/>
        <sz val="10"/>
        <color indexed="50"/>
        <rFont val="Arial"/>
        <family val="2"/>
      </rPr>
      <t>Korrekturfaktor zu Spalten B und C</t>
    </r>
    <r>
      <rPr>
        <sz val="10"/>
        <color indexed="50"/>
        <rFont val="Arial"/>
        <family val="2"/>
      </rPr>
      <t>, je nach Aufstandsfläche (eingerechnet)***</t>
    </r>
  </si>
  <si>
    <t xml:space="preserve">                               ALLGEMEINE HILFS - UND ZWISCHENWERTE</t>
  </si>
  <si>
    <t>Mai 2013: Mit modifizierter Formel für Resultatfelder J59 resp. E70</t>
  </si>
  <si>
    <t>X=Y = 1000·1000 mm</t>
  </si>
  <si>
    <t xml:space="preserve">Multiplikatoren nur gültig, wenn zusammen mit Plattenstärke ansteigend! (Bsp…....) </t>
  </si>
  <si>
    <t>X=Y = 2000·2000 mm</t>
  </si>
  <si>
    <t>X=Y = 3000·3000 mm</t>
  </si>
  <si>
    <t>X=Y = 4000·4000 mm</t>
  </si>
  <si>
    <r>
      <t>Wieder</t>
    </r>
    <r>
      <rPr>
        <u/>
        <sz val="11"/>
        <rFont val="Arial"/>
        <family val="2"/>
      </rPr>
      <t xml:space="preserve"> auf starrer Unterlage</t>
    </r>
    <r>
      <rPr>
        <sz val="11"/>
        <rFont val="Arial"/>
        <family val="2"/>
      </rPr>
      <t xml:space="preserve">, hier aber </t>
    </r>
    <r>
      <rPr>
        <u/>
        <sz val="11"/>
        <rFont val="Arial"/>
        <family val="2"/>
      </rPr>
      <t>mit Lastgruppe</t>
    </r>
    <r>
      <rPr>
        <sz val="11"/>
        <rFont val="Arial"/>
        <family val="2"/>
      </rPr>
      <t xml:space="preserve"> aus Regalfüssen (Achsmass 3000 x 3000 mm, 6 Füsse) wird Plattenstärke d = 100 mm benötigt, denn bei 100 mm beträgt der Multiplikator ca. 1,26 und die wirksame Einzellast somit 1,26 x 4 kN = 4,88 kN &lt; 5,30 kN = zulässig.</t>
    </r>
  </si>
  <si>
    <r>
      <t>Rückwärtsrechnung</t>
    </r>
    <r>
      <rPr>
        <sz val="11"/>
        <rFont val="Arial"/>
        <family val="2"/>
      </rPr>
      <t xml:space="preserve">: Steht eine </t>
    </r>
    <r>
      <rPr>
        <u/>
        <sz val="11"/>
        <rFont val="Arial"/>
        <family val="2"/>
      </rPr>
      <t>Regalfuss - Gruppe  auf nachgiebigen Tragwerk</t>
    </r>
    <r>
      <rPr>
        <sz val="11"/>
        <rFont val="Arial"/>
        <family val="2"/>
      </rPr>
      <t xml:space="preserve"> mit Qk = 4 kN und Stutzenraster 3000  x 3000 mm, so leitet sich - bei hier grösstmöglicher Plattenstärke d = 150 mm und damit zulässigen  3,64 kN "nachgiebig gelagert" -  über den massgebenden  Multiplikator M ~ 1,76 eine nominelle Einzellast</t>
    </r>
  </si>
  <si>
    <t xml:space="preserve"> von je  3.64kN / 1.76 ~ 2.06 kN pro Regalfuss ab! 4 kN pro Fuss (Vorgabe) wären damit nicht erlaubt. Druckspannung und Schubspannung hingegen sind  bei keinem der vier Beispiele bestimmend!</t>
  </si>
  <si>
    <t>März 2018: Anpassungen und Begrenzungen bezüglich Lastgruppen</t>
  </si>
  <si>
    <r>
      <t xml:space="preserve">LURO 814 (MF) </t>
    </r>
    <r>
      <rPr>
        <sz val="11"/>
        <rFont val="Arial"/>
        <family val="2"/>
      </rPr>
      <t xml:space="preserve"> (*siehe dazu Richtwerte**, unten)</t>
    </r>
  </si>
  <si>
    <t>Hilfswert γ/α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</si>
</sst>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Symbol"/>
      <family val="1"/>
      <charset val="2"/>
    </font>
    <font>
      <sz val="11"/>
      <name val="Symbol"/>
      <family val="1"/>
      <charset val="2"/>
    </font>
    <font>
      <sz val="10"/>
      <name val="Arial"/>
      <family val="2"/>
    </font>
    <font>
      <b/>
      <sz val="11"/>
      <color indexed="10"/>
      <name val="Arial"/>
      <family val="2"/>
    </font>
    <font>
      <b/>
      <sz val="11"/>
      <color indexed="10"/>
      <name val="Symbol"/>
      <family val="1"/>
      <charset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u/>
      <sz val="11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47"/>
      <name val="Arial"/>
      <family val="2"/>
    </font>
    <font>
      <i/>
      <sz val="10"/>
      <color indexed="14"/>
      <name val="Arial"/>
      <family val="2"/>
    </font>
    <font>
      <b/>
      <sz val="11"/>
      <name val="Symbol"/>
      <family val="1"/>
      <charset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sz val="11"/>
      <color indexed="14"/>
      <name val="Arial"/>
      <family val="2"/>
    </font>
    <font>
      <sz val="11"/>
      <color indexed="14"/>
      <name val="Symbol"/>
      <family val="1"/>
      <charset val="2"/>
    </font>
    <font>
      <sz val="10"/>
      <color indexed="14"/>
      <name val="Arial"/>
      <family val="2"/>
    </font>
    <font>
      <sz val="10"/>
      <color indexed="5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b/>
      <i/>
      <sz val="11"/>
      <color indexed="10"/>
      <name val="Arial"/>
      <family val="2"/>
    </font>
    <font>
      <b/>
      <i/>
      <sz val="11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50"/>
      <name val="Arial"/>
      <family val="2"/>
    </font>
    <font>
      <sz val="10"/>
      <color indexed="50"/>
      <name val="Arial"/>
      <family val="2"/>
    </font>
    <font>
      <i/>
      <sz val="10"/>
      <color indexed="1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</fills>
  <borders count="52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ashed">
        <color indexed="64"/>
      </right>
      <top style="thick">
        <color indexed="64"/>
      </top>
      <bottom/>
      <diagonal/>
    </border>
    <border>
      <left/>
      <right style="dashed">
        <color indexed="64"/>
      </right>
      <top/>
      <bottom style="thick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ashed">
        <color indexed="64"/>
      </right>
      <top/>
      <bottom style="thick">
        <color indexed="64"/>
      </bottom>
      <diagonal/>
    </border>
    <border>
      <left style="thick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Dashed">
        <color indexed="64"/>
      </top>
      <bottom/>
      <diagonal/>
    </border>
    <border>
      <left style="thick">
        <color indexed="64"/>
      </left>
      <right style="dashed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dashed">
        <color indexed="64"/>
      </right>
      <top style="mediumDashed">
        <color indexed="64"/>
      </top>
      <bottom/>
      <diagonal/>
    </border>
    <border>
      <left/>
      <right style="dashed">
        <color indexed="64"/>
      </right>
      <top style="mediumDashed">
        <color indexed="64"/>
      </top>
      <bottom/>
      <diagonal/>
    </border>
    <border>
      <left style="dashed">
        <color indexed="64"/>
      </left>
      <right style="dashed">
        <color indexed="64"/>
      </right>
      <top style="mediumDashed">
        <color indexed="64"/>
      </top>
      <bottom/>
      <diagonal/>
    </border>
    <border>
      <left style="dashed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rgb="FFFF0000"/>
      </bottom>
      <diagonal/>
    </border>
    <border>
      <left style="dashed">
        <color indexed="64"/>
      </left>
      <right style="medium">
        <color indexed="64"/>
      </right>
      <top/>
      <bottom style="dashed">
        <color rgb="FFFF0000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34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/>
    <xf numFmtId="0" fontId="4" fillId="0" borderId="0" xfId="0" applyFont="1" applyFill="1" applyBorder="1"/>
    <xf numFmtId="0" fontId="17" fillId="0" borderId="0" xfId="0" applyFont="1" applyFill="1" applyBorder="1"/>
    <xf numFmtId="0" fontId="5" fillId="0" borderId="0" xfId="0" applyFont="1" applyFill="1" applyBorder="1"/>
    <xf numFmtId="0" fontId="16" fillId="0" borderId="0" xfId="0" applyFont="1" applyFill="1" applyBorder="1"/>
    <xf numFmtId="0" fontId="0" fillId="4" borderId="3" xfId="0" applyFill="1" applyBorder="1"/>
    <xf numFmtId="0" fontId="0" fillId="4" borderId="15" xfId="0" applyFill="1" applyBorder="1"/>
    <xf numFmtId="0" fontId="0" fillId="0" borderId="0" xfId="0" applyFill="1"/>
    <xf numFmtId="0" fontId="1" fillId="0" borderId="0" xfId="0" applyFont="1"/>
    <xf numFmtId="0" fontId="10" fillId="0" borderId="0" xfId="0" applyFont="1" applyFill="1" applyBorder="1" applyAlignment="1">
      <alignment horizontal="center"/>
    </xf>
    <xf numFmtId="0" fontId="5" fillId="4" borderId="3" xfId="0" applyFont="1" applyFill="1" applyBorder="1"/>
    <xf numFmtId="0" fontId="0" fillId="0" borderId="19" xfId="0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4" borderId="9" xfId="0" applyFill="1" applyBorder="1"/>
    <xf numFmtId="0" fontId="0" fillId="4" borderId="24" xfId="0" applyFill="1" applyBorder="1"/>
    <xf numFmtId="0" fontId="0" fillId="4" borderId="23" xfId="0" applyFill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28" xfId="0" applyFont="1" applyFill="1" applyBorder="1" applyAlignment="1">
      <alignment horizontal="center"/>
    </xf>
    <xf numFmtId="0" fontId="10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horizontal="center" shrinkToFit="1"/>
    </xf>
    <xf numFmtId="0" fontId="0" fillId="0" borderId="0" xfId="0" applyFill="1" applyBorder="1" applyAlignment="1"/>
    <xf numFmtId="0" fontId="23" fillId="0" borderId="0" xfId="0" applyFont="1" applyFill="1" applyBorder="1"/>
    <xf numFmtId="0" fontId="2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0" fillId="0" borderId="0" xfId="0" applyBorder="1" applyAlignment="1">
      <alignment horizontal="left"/>
    </xf>
    <xf numFmtId="0" fontId="7" fillId="0" borderId="25" xfId="0" applyFont="1" applyBorder="1"/>
    <xf numFmtId="0" fontId="7" fillId="0" borderId="30" xfId="0" applyFont="1" applyBorder="1"/>
    <xf numFmtId="0" fontId="7" fillId="0" borderId="17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30" fillId="0" borderId="3" xfId="0" applyFont="1" applyBorder="1"/>
    <xf numFmtId="0" fontId="0" fillId="11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8" fillId="0" borderId="0" xfId="0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9" fillId="0" borderId="0" xfId="0" applyFont="1" applyBorder="1"/>
    <xf numFmtId="0" fontId="7" fillId="0" borderId="9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27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15" fillId="0" borderId="0" xfId="0" applyFont="1" applyBorder="1"/>
    <xf numFmtId="0" fontId="18" fillId="0" borderId="0" xfId="0" applyFont="1" applyBorder="1"/>
    <xf numFmtId="0" fontId="13" fillId="0" borderId="0" xfId="0" applyFont="1" applyBorder="1"/>
    <xf numFmtId="0" fontId="3" fillId="0" borderId="0" xfId="0" applyFont="1" applyBorder="1" applyAlignment="1">
      <alignment horizontal="center"/>
    </xf>
    <xf numFmtId="0" fontId="11" fillId="0" borderId="0" xfId="0" applyFont="1" applyBorder="1"/>
    <xf numFmtId="0" fontId="14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/>
    <xf numFmtId="0" fontId="3" fillId="0" borderId="0" xfId="0" applyFont="1" applyBorder="1" applyAlignment="1"/>
    <xf numFmtId="0" fontId="6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/>
    <xf numFmtId="0" fontId="7" fillId="0" borderId="35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19" fillId="0" borderId="0" xfId="0" applyFont="1" applyFill="1" applyBorder="1"/>
    <xf numFmtId="17" fontId="0" fillId="0" borderId="0" xfId="0" applyNumberFormat="1" applyFill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3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29" fillId="0" borderId="0" xfId="0" applyFont="1" applyFill="1" applyBorder="1"/>
    <xf numFmtId="0" fontId="21" fillId="0" borderId="0" xfId="0" applyFont="1" applyFill="1" applyBorder="1"/>
    <xf numFmtId="0" fontId="20" fillId="0" borderId="0" xfId="0" applyFont="1" applyFill="1" applyBorder="1"/>
    <xf numFmtId="0" fontId="15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4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5" fillId="0" borderId="0" xfId="0" applyFont="1" applyFill="1" applyBorder="1" applyAlignment="1"/>
    <xf numFmtId="0" fontId="30" fillId="0" borderId="0" xfId="0" applyFont="1" applyFill="1" applyBorder="1"/>
    <xf numFmtId="0" fontId="35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Protection="1"/>
    <xf numFmtId="0" fontId="0" fillId="0" borderId="0" xfId="0" applyProtection="1"/>
    <xf numFmtId="0" fontId="16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Protection="1"/>
    <xf numFmtId="0" fontId="31" fillId="0" borderId="0" xfId="0" applyFont="1" applyFill="1" applyBorder="1" applyProtection="1"/>
    <xf numFmtId="0" fontId="32" fillId="0" borderId="0" xfId="0" applyFont="1" applyFill="1" applyBorder="1" applyProtection="1"/>
    <xf numFmtId="0" fontId="38" fillId="0" borderId="0" xfId="0" applyFont="1" applyFill="1" applyBorder="1" applyProtection="1"/>
    <xf numFmtId="0" fontId="37" fillId="0" borderId="0" xfId="1" applyFont="1" applyAlignment="1" applyProtection="1"/>
    <xf numFmtId="0" fontId="18" fillId="0" borderId="0" xfId="0" applyFont="1" applyFill="1" applyBorder="1" applyProtection="1"/>
    <xf numFmtId="0" fontId="17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left"/>
    </xf>
    <xf numFmtId="0" fontId="5" fillId="5" borderId="12" xfId="0" applyFont="1" applyFill="1" applyBorder="1" applyProtection="1"/>
    <xf numFmtId="0" fontId="3" fillId="5" borderId="1" xfId="0" applyFont="1" applyFill="1" applyBorder="1" applyProtection="1"/>
    <xf numFmtId="0" fontId="5" fillId="12" borderId="1" xfId="0" applyFont="1" applyFill="1" applyBorder="1" applyProtection="1"/>
    <xf numFmtId="0" fontId="5" fillId="12" borderId="2" xfId="0" applyFont="1" applyFill="1" applyBorder="1" applyProtection="1"/>
    <xf numFmtId="0" fontId="0" fillId="12" borderId="45" xfId="0" applyFill="1" applyBorder="1" applyProtection="1"/>
    <xf numFmtId="0" fontId="13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Border="1" applyProtection="1"/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0" fillId="0" borderId="0" xfId="0" applyFill="1" applyProtection="1"/>
    <xf numFmtId="0" fontId="7" fillId="0" borderId="0" xfId="0" applyFont="1" applyProtection="1"/>
    <xf numFmtId="0" fontId="27" fillId="0" borderId="0" xfId="0" applyFont="1" applyProtection="1"/>
    <xf numFmtId="0" fontId="29" fillId="0" borderId="0" xfId="0" applyFont="1" applyProtection="1"/>
    <xf numFmtId="0" fontId="21" fillId="0" borderId="0" xfId="0" applyFont="1" applyProtection="1"/>
    <xf numFmtId="0" fontId="20" fillId="0" borderId="0" xfId="0" applyFont="1" applyProtection="1"/>
    <xf numFmtId="0" fontId="21" fillId="0" borderId="0" xfId="0" applyFont="1" applyFill="1" applyProtection="1"/>
    <xf numFmtId="0" fontId="15" fillId="0" borderId="0" xfId="0" applyFont="1" applyProtection="1"/>
    <xf numFmtId="0" fontId="18" fillId="0" borderId="0" xfId="0" applyFont="1" applyProtection="1"/>
    <xf numFmtId="0" fontId="3" fillId="0" borderId="0" xfId="0" applyFont="1" applyProtection="1"/>
    <xf numFmtId="0" fontId="13" fillId="0" borderId="0" xfId="0" applyFont="1" applyAlignment="1" applyProtection="1">
      <alignment horizontal="left"/>
    </xf>
    <xf numFmtId="0" fontId="13" fillId="10" borderId="0" xfId="0" applyFont="1" applyFill="1" applyAlignment="1" applyProtection="1">
      <alignment horizontal="center"/>
    </xf>
    <xf numFmtId="0" fontId="13" fillId="10" borderId="0" xfId="0" applyFont="1" applyFill="1" applyProtection="1"/>
    <xf numFmtId="0" fontId="6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3" fillId="0" borderId="0" xfId="0" applyFont="1" applyBorder="1" applyProtection="1"/>
    <xf numFmtId="0" fontId="5" fillId="10" borderId="8" xfId="0" applyFont="1" applyFill="1" applyBorder="1" applyAlignment="1" applyProtection="1">
      <alignment horizontal="center"/>
    </xf>
    <xf numFmtId="0" fontId="5" fillId="10" borderId="45" xfId="0" applyFont="1" applyFill="1" applyBorder="1" applyAlignment="1" applyProtection="1">
      <alignment horizontal="center"/>
    </xf>
    <xf numFmtId="0" fontId="0" fillId="0" borderId="3" xfId="0" applyBorder="1" applyProtection="1"/>
    <xf numFmtId="0" fontId="11" fillId="0" borderId="0" xfId="0" applyFont="1" applyProtection="1"/>
    <xf numFmtId="0" fontId="14" fillId="0" borderId="0" xfId="0" applyFont="1" applyProtection="1"/>
    <xf numFmtId="0" fontId="0" fillId="0" borderId="9" xfId="0" applyBorder="1" applyProtection="1"/>
    <xf numFmtId="0" fontId="7" fillId="0" borderId="9" xfId="0" applyFont="1" applyFill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3" borderId="12" xfId="0" applyFont="1" applyFill="1" applyBorder="1" applyProtection="1"/>
    <xf numFmtId="0" fontId="5" fillId="3" borderId="1" xfId="0" applyFont="1" applyFill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5" fillId="7" borderId="12" xfId="0" applyFont="1" applyFill="1" applyBorder="1" applyProtection="1"/>
    <xf numFmtId="0" fontId="0" fillId="7" borderId="1" xfId="0" applyFill="1" applyBorder="1" applyProtection="1"/>
    <xf numFmtId="0" fontId="23" fillId="6" borderId="8" xfId="0" applyFont="1" applyFill="1" applyBorder="1" applyProtection="1"/>
    <xf numFmtId="0" fontId="25" fillId="6" borderId="3" xfId="0" applyFont="1" applyFill="1" applyBorder="1" applyProtection="1"/>
    <xf numFmtId="0" fontId="25" fillId="6" borderId="15" xfId="0" applyFont="1" applyFill="1" applyBorder="1" applyProtection="1"/>
    <xf numFmtId="0" fontId="0" fillId="4" borderId="8" xfId="0" applyFill="1" applyBorder="1" applyProtection="1"/>
    <xf numFmtId="0" fontId="0" fillId="4" borderId="3" xfId="0" applyFill="1" applyBorder="1" applyProtection="1"/>
    <xf numFmtId="0" fontId="5" fillId="4" borderId="3" xfId="0" applyFont="1" applyFill="1" applyBorder="1" applyProtection="1"/>
    <xf numFmtId="0" fontId="0" fillId="4" borderId="15" xfId="0" applyFill="1" applyBorder="1" applyProtection="1"/>
    <xf numFmtId="0" fontId="5" fillId="0" borderId="10" xfId="0" applyFont="1" applyBorder="1" applyAlignment="1" applyProtection="1">
      <alignment horizontal="center"/>
    </xf>
    <xf numFmtId="0" fontId="5" fillId="2" borderId="8" xfId="0" applyFont="1" applyFill="1" applyBorder="1" applyProtection="1"/>
    <xf numFmtId="0" fontId="5" fillId="2" borderId="13" xfId="0" applyFont="1" applyFill="1" applyBorder="1" applyProtection="1"/>
    <xf numFmtId="0" fontId="5" fillId="2" borderId="14" xfId="0" applyFont="1" applyFill="1" applyBorder="1" applyProtection="1"/>
    <xf numFmtId="0" fontId="5" fillId="2" borderId="14" xfId="0" applyFont="1" applyFill="1" applyBorder="1" applyAlignment="1" applyProtection="1">
      <alignment horizontal="left"/>
    </xf>
    <xf numFmtId="0" fontId="0" fillId="2" borderId="15" xfId="0" applyFill="1" applyBorder="1" applyAlignment="1" applyProtection="1">
      <alignment horizontal="center"/>
    </xf>
    <xf numFmtId="0" fontId="5" fillId="8" borderId="14" xfId="0" applyFont="1" applyFill="1" applyBorder="1" applyProtection="1"/>
    <xf numFmtId="0" fontId="5" fillId="8" borderId="13" xfId="0" applyFont="1" applyFill="1" applyBorder="1" applyProtection="1"/>
    <xf numFmtId="0" fontId="5" fillId="6" borderId="23" xfId="0" applyFont="1" applyFill="1" applyBorder="1" applyProtection="1"/>
    <xf numFmtId="0" fontId="0" fillId="6" borderId="9" xfId="0" applyFill="1" applyBorder="1" applyProtection="1"/>
    <xf numFmtId="0" fontId="0" fillId="6" borderId="24" xfId="0" applyFill="1" applyBorder="1" applyProtection="1"/>
    <xf numFmtId="0" fontId="5" fillId="4" borderId="23" xfId="0" applyFont="1" applyFill="1" applyBorder="1" applyProtection="1"/>
    <xf numFmtId="0" fontId="0" fillId="4" borderId="9" xfId="0" applyFill="1" applyBorder="1" applyProtection="1"/>
    <xf numFmtId="0" fontId="0" fillId="4" borderId="24" xfId="0" applyFill="1" applyBorder="1" applyProtection="1"/>
    <xf numFmtId="0" fontId="5" fillId="4" borderId="23" xfId="0" applyFont="1" applyFill="1" applyBorder="1" applyAlignment="1" applyProtection="1">
      <alignment horizontal="center"/>
    </xf>
    <xf numFmtId="0" fontId="0" fillId="4" borderId="23" xfId="0" applyFill="1" applyBorder="1" applyProtection="1"/>
    <xf numFmtId="0" fontId="25" fillId="0" borderId="32" xfId="0" applyFont="1" applyBorder="1" applyProtection="1"/>
    <xf numFmtId="0" fontId="0" fillId="0" borderId="6" xfId="0" applyBorder="1" applyAlignment="1" applyProtection="1">
      <alignment horizontal="center"/>
    </xf>
    <xf numFmtId="0" fontId="25" fillId="0" borderId="16" xfId="0" applyFont="1" applyBorder="1" applyProtection="1"/>
    <xf numFmtId="0" fontId="25" fillId="0" borderId="16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" fillId="9" borderId="29" xfId="0" applyFont="1" applyFill="1" applyBorder="1" applyProtection="1"/>
    <xf numFmtId="0" fontId="3" fillId="9" borderId="25" xfId="0" applyFont="1" applyFill="1" applyBorder="1" applyProtection="1"/>
    <xf numFmtId="0" fontId="3" fillId="9" borderId="25" xfId="0" applyFont="1" applyFill="1" applyBorder="1" applyAlignment="1" applyProtection="1">
      <alignment horizontal="left"/>
    </xf>
    <xf numFmtId="0" fontId="3" fillId="9" borderId="30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/>
    </xf>
    <xf numFmtId="0" fontId="1" fillId="0" borderId="26" xfId="0" applyFont="1" applyBorder="1" applyProtection="1"/>
    <xf numFmtId="0" fontId="1" fillId="0" borderId="16" xfId="0" applyFont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44" fillId="0" borderId="30" xfId="0" applyFont="1" applyBorder="1" applyProtection="1"/>
    <xf numFmtId="0" fontId="0" fillId="0" borderId="5" xfId="0" applyBorder="1" applyAlignment="1" applyProtection="1">
      <alignment horizontal="center"/>
    </xf>
    <xf numFmtId="0" fontId="25" fillId="0" borderId="31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25" fillId="0" borderId="21" xfId="0" applyFont="1" applyBorder="1" applyAlignment="1" applyProtection="1">
      <alignment horizontal="center"/>
    </xf>
    <xf numFmtId="0" fontId="18" fillId="0" borderId="16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10" fillId="0" borderId="31" xfId="0" applyFont="1" applyBorder="1" applyAlignment="1" applyProtection="1">
      <alignment horizontal="center"/>
    </xf>
    <xf numFmtId="0" fontId="10" fillId="0" borderId="19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0" fontId="1" fillId="0" borderId="21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</xf>
    <xf numFmtId="0" fontId="30" fillId="0" borderId="22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7" fillId="0" borderId="33" xfId="0" applyFont="1" applyBorder="1" applyProtection="1"/>
    <xf numFmtId="0" fontId="7" fillId="0" borderId="26" xfId="0" applyFont="1" applyBorder="1" applyProtection="1"/>
    <xf numFmtId="0" fontId="7" fillId="0" borderId="27" xfId="0" applyFont="1" applyBorder="1" applyProtection="1"/>
    <xf numFmtId="0" fontId="7" fillId="0" borderId="25" xfId="0" applyFont="1" applyBorder="1" applyProtection="1"/>
    <xf numFmtId="0" fontId="0" fillId="0" borderId="30" xfId="0" applyBorder="1" applyProtection="1"/>
    <xf numFmtId="0" fontId="5" fillId="0" borderId="32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36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7" fillId="0" borderId="17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30" fillId="0" borderId="20" xfId="0" applyFont="1" applyFill="1" applyBorder="1" applyAlignment="1" applyProtection="1">
      <alignment horizontal="center"/>
    </xf>
    <xf numFmtId="0" fontId="7" fillId="0" borderId="47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0" borderId="37" xfId="0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</xf>
    <xf numFmtId="0" fontId="5" fillId="0" borderId="40" xfId="0" applyFont="1" applyBorder="1" applyAlignment="1" applyProtection="1">
      <alignment horizontal="center"/>
    </xf>
    <xf numFmtId="0" fontId="7" fillId="0" borderId="43" xfId="0" applyFont="1" applyBorder="1" applyAlignment="1" applyProtection="1">
      <alignment horizontal="center"/>
    </xf>
    <xf numFmtId="0" fontId="7" fillId="0" borderId="48" xfId="0" applyFont="1" applyFill="1" applyBorder="1" applyAlignment="1" applyProtection="1">
      <alignment horizontal="center"/>
    </xf>
    <xf numFmtId="0" fontId="7" fillId="0" borderId="42" xfId="0" applyFont="1" applyFill="1" applyBorder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/>
    </xf>
    <xf numFmtId="0" fontId="7" fillId="0" borderId="41" xfId="0" applyFont="1" applyBorder="1" applyAlignment="1" applyProtection="1">
      <alignment horizontal="center"/>
    </xf>
    <xf numFmtId="0" fontId="7" fillId="0" borderId="42" xfId="0" applyFont="1" applyBorder="1" applyAlignment="1" applyProtection="1">
      <alignment horizontal="center"/>
    </xf>
    <xf numFmtId="0" fontId="7" fillId="0" borderId="40" xfId="0" applyFont="1" applyFill="1" applyBorder="1" applyAlignment="1" applyProtection="1">
      <alignment horizontal="center"/>
    </xf>
    <xf numFmtId="0" fontId="1" fillId="0" borderId="49" xfId="0" applyFont="1" applyFill="1" applyBorder="1" applyAlignment="1" applyProtection="1">
      <alignment horizontal="center"/>
    </xf>
    <xf numFmtId="0" fontId="30" fillId="0" borderId="46" xfId="0" applyFont="1" applyFill="1" applyBorder="1" applyAlignment="1" applyProtection="1">
      <alignment horizontal="center"/>
    </xf>
    <xf numFmtId="0" fontId="7" fillId="0" borderId="36" xfId="0" applyFont="1" applyFill="1" applyBorder="1" applyAlignment="1" applyProtection="1">
      <alignment horizontal="center"/>
    </xf>
    <xf numFmtId="0" fontId="5" fillId="8" borderId="10" xfId="0" applyFont="1" applyFill="1" applyBorder="1" applyAlignment="1" applyProtection="1">
      <alignment horizontal="center"/>
    </xf>
    <xf numFmtId="0" fontId="5" fillId="8" borderId="16" xfId="0" applyFont="1" applyFill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30" fillId="0" borderId="22" xfId="0" applyFont="1" applyFill="1" applyBorder="1" applyAlignment="1" applyProtection="1">
      <alignment horizontal="center"/>
    </xf>
    <xf numFmtId="0" fontId="3" fillId="0" borderId="3" xfId="0" applyFont="1" applyBorder="1" applyAlignment="1" applyProtection="1"/>
    <xf numFmtId="0" fontId="0" fillId="0" borderId="3" xfId="0" applyBorder="1" applyAlignment="1" applyProtection="1"/>
    <xf numFmtId="0" fontId="0" fillId="0" borderId="3" xfId="0" applyBorder="1" applyAlignment="1" applyProtection="1">
      <alignment horizontal="center"/>
    </xf>
    <xf numFmtId="0" fontId="35" fillId="7" borderId="3" xfId="0" applyFont="1" applyFill="1" applyBorder="1" applyAlignment="1" applyProtection="1"/>
    <xf numFmtId="0" fontId="30" fillId="0" borderId="3" xfId="0" applyFont="1" applyBorder="1" applyProtection="1"/>
    <xf numFmtId="0" fontId="0" fillId="13" borderId="3" xfId="0" applyFill="1" applyBorder="1" applyAlignment="1" applyProtection="1">
      <alignment horizontal="center"/>
    </xf>
    <xf numFmtId="0" fontId="1" fillId="14" borderId="3" xfId="0" applyFont="1" applyFill="1" applyBorder="1" applyAlignment="1" applyProtection="1">
      <alignment horizontal="center"/>
    </xf>
    <xf numFmtId="0" fontId="1" fillId="14" borderId="0" xfId="0" applyFont="1" applyFill="1" applyAlignment="1" applyProtection="1">
      <alignment horizontal="center"/>
    </xf>
    <xf numFmtId="0" fontId="1" fillId="13" borderId="0" xfId="0" applyFont="1" applyFill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0" fillId="0" borderId="15" xfId="0" applyBorder="1" applyProtection="1"/>
    <xf numFmtId="0" fontId="35" fillId="7" borderId="0" xfId="0" applyFont="1" applyFill="1" applyProtection="1"/>
    <xf numFmtId="0" fontId="1" fillId="0" borderId="0" xfId="0" applyFont="1" applyProtection="1"/>
    <xf numFmtId="0" fontId="0" fillId="0" borderId="0" xfId="0" applyFill="1" applyAlignment="1" applyProtection="1">
      <alignment horizontal="center"/>
    </xf>
    <xf numFmtId="0" fontId="19" fillId="0" borderId="0" xfId="0" applyFont="1" applyBorder="1" applyProtection="1"/>
    <xf numFmtId="0" fontId="13" fillId="0" borderId="44" xfId="0" applyFont="1" applyBorder="1" applyAlignment="1" applyProtection="1">
      <alignment horizontal="center"/>
    </xf>
    <xf numFmtId="0" fontId="19" fillId="0" borderId="4" xfId="0" applyFont="1" applyBorder="1" applyProtection="1"/>
    <xf numFmtId="0" fontId="3" fillId="0" borderId="44" xfId="0" applyFont="1" applyBorder="1" applyAlignment="1" applyProtection="1">
      <alignment horizontal="center"/>
    </xf>
    <xf numFmtId="0" fontId="0" fillId="0" borderId="4" xfId="0" applyBorder="1" applyProtection="1"/>
    <xf numFmtId="0" fontId="5" fillId="0" borderId="44" xfId="0" applyFont="1" applyFill="1" applyBorder="1" applyProtection="1"/>
    <xf numFmtId="0" fontId="5" fillId="0" borderId="0" xfId="0" applyFont="1" applyFill="1" applyBorder="1" applyProtection="1"/>
    <xf numFmtId="0" fontId="0" fillId="0" borderId="44" xfId="0" applyBorder="1" applyProtection="1"/>
    <xf numFmtId="0" fontId="0" fillId="0" borderId="44" xfId="0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0" borderId="44" xfId="0" applyBorder="1" applyAlignment="1" applyProtection="1">
      <alignment horizontal="left"/>
    </xf>
    <xf numFmtId="0" fontId="0" fillId="8" borderId="0" xfId="0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8" fillId="0" borderId="0" xfId="0" applyFont="1" applyBorder="1" applyProtection="1"/>
    <xf numFmtId="17" fontId="0" fillId="0" borderId="0" xfId="0" applyNumberFormat="1" applyBorder="1" applyAlignment="1" applyProtection="1">
      <alignment horizontal="center"/>
    </xf>
    <xf numFmtId="0" fontId="4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 applyProtection="1"/>
    <xf numFmtId="0" fontId="41" fillId="0" borderId="4" xfId="0" applyFont="1" applyBorder="1" applyProtection="1"/>
    <xf numFmtId="16" fontId="0" fillId="0" borderId="0" xfId="0" applyNumberForma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shrinkToFit="1"/>
    </xf>
    <xf numFmtId="0" fontId="0" fillId="0" borderId="0" xfId="0" applyFill="1" applyBorder="1" applyAlignment="1" applyProtection="1"/>
    <xf numFmtId="0" fontId="1" fillId="0" borderId="0" xfId="0" applyFont="1" applyFill="1" applyBorder="1" applyProtection="1"/>
    <xf numFmtId="0" fontId="0" fillId="0" borderId="23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42" fillId="0" borderId="0" xfId="1" applyFont="1" applyAlignment="1" applyProtection="1"/>
    <xf numFmtId="0" fontId="0" fillId="0" borderId="24" xfId="0" applyBorder="1" applyAlignment="1" applyProtection="1">
      <alignment horizontal="left"/>
    </xf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Protection="1"/>
    <xf numFmtId="0" fontId="2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  <protection locked="0"/>
    </xf>
    <xf numFmtId="0" fontId="5" fillId="5" borderId="45" xfId="0" applyFont="1" applyFill="1" applyBorder="1" applyAlignment="1" applyProtection="1">
      <alignment horizontal="center"/>
      <protection locked="0"/>
    </xf>
    <xf numFmtId="0" fontId="5" fillId="9" borderId="45" xfId="0" applyFont="1" applyFill="1" applyBorder="1" applyAlignment="1" applyProtection="1">
      <alignment horizontal="center"/>
      <protection locked="0"/>
    </xf>
    <xf numFmtId="0" fontId="5" fillId="12" borderId="45" xfId="0" applyFont="1" applyFill="1" applyBorder="1" applyAlignment="1" applyProtection="1">
      <alignment horizontal="center"/>
      <protection locked="0"/>
    </xf>
    <xf numFmtId="0" fontId="46" fillId="0" borderId="0" xfId="0" applyFont="1" applyProtection="1"/>
    <xf numFmtId="0" fontId="6" fillId="0" borderId="17" xfId="0" applyFont="1" applyFill="1" applyBorder="1" applyAlignment="1" applyProtection="1">
      <alignment horizontal="center"/>
    </xf>
    <xf numFmtId="0" fontId="6" fillId="0" borderId="36" xfId="0" applyFont="1" applyFill="1" applyBorder="1" applyAlignment="1" applyProtection="1">
      <alignment horizontal="center"/>
    </xf>
    <xf numFmtId="0" fontId="6" fillId="0" borderId="50" xfId="0" applyFont="1" applyFill="1" applyBorder="1" applyAlignment="1" applyProtection="1">
      <alignment horizontal="center"/>
    </xf>
    <xf numFmtId="0" fontId="7" fillId="15" borderId="17" xfId="0" applyFont="1" applyFill="1" applyBorder="1" applyAlignment="1" applyProtection="1">
      <alignment horizontal="center"/>
    </xf>
    <xf numFmtId="0" fontId="5" fillId="15" borderId="16" xfId="0" applyFont="1" applyFill="1" applyBorder="1" applyAlignment="1" applyProtection="1">
      <alignment horizontal="center"/>
    </xf>
    <xf numFmtId="0" fontId="0" fillId="15" borderId="0" xfId="0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5" fillId="16" borderId="16" xfId="0" applyFont="1" applyFill="1" applyBorder="1" applyAlignment="1" applyProtection="1">
      <alignment horizontal="center"/>
    </xf>
    <xf numFmtId="0" fontId="0" fillId="16" borderId="0" xfId="0" applyFill="1" applyBorder="1" applyAlignment="1" applyProtection="1">
      <alignment horizontal="left"/>
    </xf>
    <xf numFmtId="0" fontId="5" fillId="16" borderId="10" xfId="0" applyFont="1" applyFill="1" applyBorder="1" applyAlignment="1" applyProtection="1">
      <alignment horizontal="center"/>
    </xf>
    <xf numFmtId="0" fontId="7" fillId="16" borderId="17" xfId="0" applyFont="1" applyFill="1" applyBorder="1" applyAlignment="1" applyProtection="1">
      <alignment horizontal="center"/>
    </xf>
    <xf numFmtId="0" fontId="49" fillId="0" borderId="0" xfId="0" applyFont="1" applyBorder="1" applyAlignment="1" applyProtection="1">
      <alignment horizontal="left"/>
    </xf>
    <xf numFmtId="0" fontId="5" fillId="15" borderId="10" xfId="0" applyFont="1" applyFill="1" applyBorder="1" applyAlignment="1" applyProtection="1">
      <alignment horizontal="center"/>
    </xf>
    <xf numFmtId="0" fontId="47" fillId="0" borderId="14" xfId="0" applyFont="1" applyBorder="1" applyAlignment="1" applyProtection="1">
      <alignment horizontal="center"/>
    </xf>
    <xf numFmtId="0" fontId="48" fillId="0" borderId="3" xfId="0" applyFont="1" applyBorder="1" applyAlignment="1" applyProtection="1">
      <alignment horizontal="center"/>
    </xf>
    <xf numFmtId="0" fontId="48" fillId="0" borderId="13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left"/>
      <protection locked="0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Protection="1"/>
    <xf numFmtId="0" fontId="0" fillId="0" borderId="2" xfId="0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6699"/>
      <color rgb="FFFF0066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ekopriority.com/upload/download/Schwimmende_Estriche_UB_Traglastnachweis_2_von_2.pdf" TargetMode="External"/><Relationship Id="rId1" Type="http://schemas.openxmlformats.org/officeDocument/2006/relationships/hyperlink" Target="http://www.oekopriority.com/upload/download/Schwimmende_Estriche_UB_Traglastnachweis_2_von_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5"/>
  <sheetViews>
    <sheetView tabSelected="1" workbookViewId="0">
      <selection activeCell="E55" sqref="E55"/>
    </sheetView>
  </sheetViews>
  <sheetFormatPr baseColWidth="10" defaultRowHeight="13.2" x14ac:dyDescent="0.25"/>
  <cols>
    <col min="1" max="1" width="29.109375" style="105" customWidth="1"/>
    <col min="2" max="2" width="17.6640625" style="105" customWidth="1"/>
    <col min="3" max="3" width="19.109375" style="105" customWidth="1"/>
    <col min="4" max="4" width="15.88671875" style="105" customWidth="1"/>
    <col min="5" max="5" width="21" style="105" customWidth="1"/>
    <col min="6" max="6" width="13" style="105" customWidth="1"/>
    <col min="7" max="7" width="18.88671875" style="105" customWidth="1"/>
    <col min="8" max="8" width="21.6640625" style="105" customWidth="1"/>
    <col min="9" max="9" width="23.33203125" style="105" customWidth="1"/>
    <col min="10" max="10" width="19.44140625" style="105" customWidth="1"/>
    <col min="11" max="11" width="18.77734375" style="105" customWidth="1"/>
    <col min="12" max="12" width="20.44140625" style="105" customWidth="1"/>
    <col min="13" max="13" width="21.88671875" style="105" customWidth="1"/>
    <col min="14" max="14" width="15" style="105" customWidth="1"/>
    <col min="15" max="15" width="17.6640625" style="105" customWidth="1"/>
    <col min="16" max="16" width="18.109375" style="105" customWidth="1"/>
    <col min="17" max="17" width="9.6640625" style="105" customWidth="1"/>
    <col min="18" max="18" width="10.44140625" style="105" customWidth="1"/>
    <col min="19" max="19" width="11.88671875" style="105" customWidth="1"/>
    <col min="20" max="20" width="15.5546875" style="105" customWidth="1"/>
    <col min="21" max="21" width="12.44140625" style="105" bestFit="1" customWidth="1"/>
    <col min="22" max="22" width="12.109375" style="105" customWidth="1"/>
    <col min="23" max="23" width="10.6640625" style="105" customWidth="1"/>
    <col min="24" max="24" width="9.88671875" style="105" customWidth="1"/>
    <col min="25" max="25" width="11.5546875" style="105"/>
    <col min="26" max="26" width="13" style="105" customWidth="1"/>
    <col min="27" max="27" width="15.44140625" style="105" customWidth="1"/>
    <col min="28" max="16384" width="11.5546875" style="105"/>
  </cols>
  <sheetData>
    <row r="1" spans="1:14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4" ht="17.399999999999999" x14ac:dyDescent="0.3">
      <c r="A2" s="106" t="s">
        <v>138</v>
      </c>
      <c r="B2" s="106"/>
      <c r="C2" s="106"/>
      <c r="D2" s="106"/>
      <c r="E2" s="106"/>
      <c r="F2" s="106"/>
      <c r="G2" s="106"/>
      <c r="H2" s="107"/>
      <c r="I2" s="107"/>
      <c r="J2" s="107"/>
      <c r="K2" s="108"/>
      <c r="L2" s="108"/>
      <c r="M2" s="108"/>
      <c r="N2" s="108"/>
    </row>
    <row r="3" spans="1:14" ht="17.399999999999999" x14ac:dyDescent="0.3">
      <c r="A3" s="106" t="s">
        <v>0</v>
      </c>
      <c r="B3" s="106"/>
      <c r="C3" s="106"/>
      <c r="D3" s="106"/>
      <c r="E3" s="106"/>
      <c r="F3" s="106"/>
      <c r="G3" s="106"/>
      <c r="H3" s="104"/>
      <c r="I3" s="104"/>
      <c r="J3" s="104"/>
    </row>
    <row r="4" spans="1:14" ht="13.8" x14ac:dyDescent="0.25">
      <c r="A4" s="109" t="s">
        <v>75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4" x14ac:dyDescent="0.25">
      <c r="B5" s="104"/>
      <c r="C5" s="104"/>
      <c r="D5" s="104"/>
      <c r="E5" s="104"/>
      <c r="F5" s="104"/>
      <c r="G5" s="104"/>
      <c r="H5" s="104"/>
      <c r="I5" s="104"/>
      <c r="J5" s="104"/>
    </row>
    <row r="6" spans="1:14" x14ac:dyDescent="0.25">
      <c r="A6" s="110" t="s">
        <v>142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4" ht="13.8" x14ac:dyDescent="0.25">
      <c r="A7" s="111" t="s">
        <v>154</v>
      </c>
      <c r="B7" s="104"/>
      <c r="C7" s="104"/>
      <c r="D7" s="112" t="s">
        <v>153</v>
      </c>
      <c r="E7" s="113"/>
      <c r="F7" s="113"/>
      <c r="G7" s="104"/>
      <c r="H7" s="104"/>
      <c r="I7" s="104"/>
      <c r="J7" s="104"/>
    </row>
    <row r="8" spans="1:14" ht="18" thickBot="1" x14ac:dyDescent="0.35">
      <c r="A8" s="106"/>
      <c r="B8" s="114"/>
      <c r="C8" s="114"/>
      <c r="D8" s="114"/>
      <c r="E8" s="115"/>
      <c r="F8" s="114"/>
      <c r="G8" s="114"/>
      <c r="H8" s="114"/>
      <c r="I8" s="114"/>
      <c r="J8" s="104"/>
    </row>
    <row r="9" spans="1:14" ht="15" thickTop="1" thickBot="1" x14ac:dyDescent="0.3">
      <c r="A9" s="116" t="s">
        <v>59</v>
      </c>
      <c r="B9" s="117"/>
      <c r="C9" s="118" t="s">
        <v>155</v>
      </c>
      <c r="D9" s="119"/>
      <c r="E9" s="120"/>
      <c r="H9" s="104"/>
      <c r="I9" s="104"/>
      <c r="J9" s="104"/>
    </row>
    <row r="10" spans="1:14" ht="13.8" thickTop="1" x14ac:dyDescent="0.25"/>
    <row r="11" spans="1:14" ht="13.8" x14ac:dyDescent="0.25">
      <c r="A11" s="121" t="s">
        <v>1</v>
      </c>
      <c r="B11" s="122"/>
      <c r="C11" s="122"/>
      <c r="D11" s="122"/>
    </row>
    <row r="12" spans="1:14" ht="13.8" thickBot="1" x14ac:dyDescent="0.3"/>
    <row r="13" spans="1:14" ht="15" thickTop="1" thickBot="1" x14ac:dyDescent="0.3">
      <c r="B13" s="123" t="s">
        <v>147</v>
      </c>
      <c r="E13" s="336" t="s">
        <v>131</v>
      </c>
      <c r="F13" s="339"/>
      <c r="G13" s="340"/>
      <c r="H13" s="124"/>
      <c r="I13" s="124"/>
      <c r="J13" s="124"/>
    </row>
    <row r="14" spans="1:14" ht="14.4" thickTop="1" thickBot="1" x14ac:dyDescent="0.3"/>
    <row r="15" spans="1:14" ht="15" thickTop="1" thickBot="1" x14ac:dyDescent="0.3">
      <c r="B15" s="123" t="s">
        <v>2</v>
      </c>
      <c r="E15" s="316">
        <v>34000</v>
      </c>
      <c r="F15" s="125" t="s">
        <v>4</v>
      </c>
    </row>
    <row r="16" spans="1:14" ht="14.4" thickTop="1" thickBot="1" x14ac:dyDescent="0.3">
      <c r="E16" s="126"/>
    </row>
    <row r="17" spans="1:10" ht="15" thickTop="1" thickBot="1" x14ac:dyDescent="0.3">
      <c r="B17" s="123" t="s">
        <v>3</v>
      </c>
      <c r="E17" s="316">
        <v>2.5</v>
      </c>
      <c r="F17" s="125" t="s">
        <v>4</v>
      </c>
      <c r="G17" s="123" t="s">
        <v>28</v>
      </c>
    </row>
    <row r="18" spans="1:10" ht="13.8" thickTop="1" x14ac:dyDescent="0.25">
      <c r="E18" s="126"/>
    </row>
    <row r="19" spans="1:10" x14ac:dyDescent="0.25">
      <c r="E19" s="126"/>
    </row>
    <row r="20" spans="1:10" ht="13.8" x14ac:dyDescent="0.25">
      <c r="A20" s="121" t="s">
        <v>5</v>
      </c>
      <c r="E20" s="126"/>
    </row>
    <row r="21" spans="1:10" ht="13.8" thickBot="1" x14ac:dyDescent="0.3">
      <c r="E21" s="126"/>
    </row>
    <row r="22" spans="1:10" ht="15" thickTop="1" thickBot="1" x14ac:dyDescent="0.3">
      <c r="B22" s="123" t="s">
        <v>148</v>
      </c>
      <c r="E22" s="336" t="s">
        <v>108</v>
      </c>
      <c r="F22" s="339"/>
      <c r="G22" s="340"/>
      <c r="H22" s="124"/>
      <c r="I22" s="124"/>
      <c r="J22" s="124"/>
    </row>
    <row r="23" spans="1:10" ht="14.4" thickTop="1" thickBot="1" x14ac:dyDescent="0.3">
      <c r="E23" s="126"/>
    </row>
    <row r="24" spans="1:10" ht="15" thickTop="1" thickBot="1" x14ac:dyDescent="0.3">
      <c r="B24" s="123" t="s">
        <v>6</v>
      </c>
      <c r="E24" s="316">
        <v>5.8999999999999997E-2</v>
      </c>
      <c r="F24" s="127" t="s">
        <v>4</v>
      </c>
    </row>
    <row r="25" spans="1:10" ht="14.4" thickTop="1" thickBot="1" x14ac:dyDescent="0.3">
      <c r="E25" s="126"/>
    </row>
    <row r="26" spans="1:10" ht="15" thickTop="1" thickBot="1" x14ac:dyDescent="0.3">
      <c r="B26" s="123" t="s">
        <v>7</v>
      </c>
      <c r="E26" s="316">
        <v>30</v>
      </c>
      <c r="F26" s="127" t="s">
        <v>8</v>
      </c>
    </row>
    <row r="27" spans="1:10" ht="13.8" thickTop="1" x14ac:dyDescent="0.25">
      <c r="E27" s="126"/>
    </row>
    <row r="28" spans="1:10" ht="13.8" thickBot="1" x14ac:dyDescent="0.3">
      <c r="E28" s="126"/>
    </row>
    <row r="29" spans="1:10" ht="15" thickTop="1" thickBot="1" x14ac:dyDescent="0.3">
      <c r="B29" s="123" t="s">
        <v>149</v>
      </c>
      <c r="E29" s="336" t="s">
        <v>179</v>
      </c>
      <c r="F29" s="339"/>
      <c r="G29" s="340"/>
      <c r="H29" s="124"/>
      <c r="I29" s="124"/>
      <c r="J29" s="124"/>
    </row>
    <row r="30" spans="1:10" ht="14.4" thickTop="1" thickBot="1" x14ac:dyDescent="0.3">
      <c r="E30" s="126"/>
    </row>
    <row r="31" spans="1:10" ht="15" thickTop="1" thickBot="1" x14ac:dyDescent="0.3">
      <c r="B31" s="123" t="s">
        <v>9</v>
      </c>
      <c r="E31" s="316">
        <v>0.17199999999999999</v>
      </c>
      <c r="F31" s="127" t="s">
        <v>4</v>
      </c>
      <c r="G31" s="123"/>
    </row>
    <row r="32" spans="1:10" ht="14.4" thickTop="1" thickBot="1" x14ac:dyDescent="0.3">
      <c r="E32" s="126"/>
    </row>
    <row r="33" spans="1:11" ht="15" thickTop="1" thickBot="1" x14ac:dyDescent="0.3">
      <c r="B33" s="123" t="s">
        <v>10</v>
      </c>
      <c r="E33" s="316">
        <v>160</v>
      </c>
      <c r="F33" s="127" t="s">
        <v>8</v>
      </c>
    </row>
    <row r="34" spans="1:11" ht="13.8" thickTop="1" x14ac:dyDescent="0.25">
      <c r="E34" s="126"/>
    </row>
    <row r="35" spans="1:11" ht="13.8" thickBot="1" x14ac:dyDescent="0.3">
      <c r="E35" s="126"/>
    </row>
    <row r="36" spans="1:11" ht="15" thickTop="1" thickBot="1" x14ac:dyDescent="0.3">
      <c r="B36" s="123" t="s">
        <v>79</v>
      </c>
      <c r="E36" s="315" t="s">
        <v>98</v>
      </c>
      <c r="F36" s="341"/>
      <c r="G36" s="342"/>
      <c r="H36" s="124"/>
      <c r="I36" s="124"/>
      <c r="J36" s="124"/>
    </row>
    <row r="37" spans="1:11" ht="14.4" thickTop="1" thickBot="1" x14ac:dyDescent="0.3">
      <c r="E37" s="126"/>
    </row>
    <row r="38" spans="1:11" ht="15" thickTop="1" thickBot="1" x14ac:dyDescent="0.3">
      <c r="B38" s="123" t="s">
        <v>11</v>
      </c>
      <c r="E38" s="316">
        <v>100</v>
      </c>
      <c r="F38" s="127" t="s">
        <v>4</v>
      </c>
      <c r="K38" s="128"/>
    </row>
    <row r="39" spans="1:11" ht="14.4" thickTop="1" thickBot="1" x14ac:dyDescent="0.3">
      <c r="E39" s="126"/>
    </row>
    <row r="40" spans="1:11" ht="15" thickTop="1" thickBot="1" x14ac:dyDescent="0.3">
      <c r="B40" s="123" t="s">
        <v>12</v>
      </c>
      <c r="E40" s="316">
        <v>60</v>
      </c>
      <c r="F40" s="127" t="s">
        <v>43</v>
      </c>
    </row>
    <row r="41" spans="1:11" ht="13.8" thickTop="1" x14ac:dyDescent="0.25">
      <c r="E41" s="126"/>
    </row>
    <row r="42" spans="1:11" ht="13.8" thickBot="1" x14ac:dyDescent="0.3">
      <c r="E42" s="126"/>
    </row>
    <row r="43" spans="1:11" ht="15" thickTop="1" thickBot="1" x14ac:dyDescent="0.3">
      <c r="B43" s="122" t="s">
        <v>76</v>
      </c>
      <c r="E43" s="316">
        <v>2.5000000000000001E-3</v>
      </c>
      <c r="F43" s="127" t="s">
        <v>4</v>
      </c>
      <c r="G43" s="123" t="s">
        <v>87</v>
      </c>
    </row>
    <row r="44" spans="1:11" ht="14.4" thickTop="1" x14ac:dyDescent="0.25">
      <c r="E44" s="126"/>
      <c r="G44" s="129" t="s">
        <v>125</v>
      </c>
    </row>
    <row r="45" spans="1:11" x14ac:dyDescent="0.25">
      <c r="E45" s="126"/>
    </row>
    <row r="46" spans="1:11" ht="13.8" x14ac:dyDescent="0.25">
      <c r="A46" s="121" t="s">
        <v>17</v>
      </c>
      <c r="E46" s="126"/>
    </row>
    <row r="47" spans="1:11" ht="13.8" thickBot="1" x14ac:dyDescent="0.3">
      <c r="E47" s="126"/>
    </row>
    <row r="48" spans="1:11" ht="15" thickTop="1" thickBot="1" x14ac:dyDescent="0.3">
      <c r="B48" s="130" t="s">
        <v>81</v>
      </c>
      <c r="C48" s="131"/>
      <c r="D48" s="131"/>
      <c r="E48" s="317">
        <v>4</v>
      </c>
      <c r="F48" s="127" t="s">
        <v>13</v>
      </c>
      <c r="G48" s="123" t="s">
        <v>77</v>
      </c>
    </row>
    <row r="49" spans="1:11" ht="14.4" thickTop="1" thickBot="1" x14ac:dyDescent="0.3">
      <c r="B49" s="132" t="s">
        <v>58</v>
      </c>
      <c r="C49" s="133"/>
      <c r="E49" s="126"/>
      <c r="G49" s="134" t="s">
        <v>143</v>
      </c>
      <c r="H49" s="134"/>
      <c r="I49" s="134"/>
    </row>
    <row r="50" spans="1:11" ht="15" thickTop="1" thickBot="1" x14ac:dyDescent="0.3">
      <c r="B50" s="123" t="s">
        <v>31</v>
      </c>
      <c r="E50" s="318">
        <v>4</v>
      </c>
      <c r="F50" s="127" t="s">
        <v>29</v>
      </c>
      <c r="G50" s="135" t="s">
        <v>55</v>
      </c>
    </row>
    <row r="51" spans="1:11" ht="14.4" thickTop="1" thickBot="1" x14ac:dyDescent="0.3">
      <c r="B51" s="136" t="s">
        <v>30</v>
      </c>
      <c r="E51" s="126"/>
    </row>
    <row r="52" spans="1:11" ht="15" thickTop="1" thickBot="1" x14ac:dyDescent="0.3">
      <c r="B52" s="129" t="s">
        <v>60</v>
      </c>
      <c r="E52" s="318">
        <v>3</v>
      </c>
      <c r="F52" s="127" t="s">
        <v>41</v>
      </c>
      <c r="G52" s="135" t="s">
        <v>42</v>
      </c>
    </row>
    <row r="53" spans="1:11" ht="14.4" thickTop="1" thickBot="1" x14ac:dyDescent="0.3">
      <c r="B53" s="136" t="s">
        <v>30</v>
      </c>
      <c r="E53" s="126"/>
    </row>
    <row r="54" spans="1:11" ht="15" thickTop="1" thickBot="1" x14ac:dyDescent="0.3">
      <c r="B54" s="129" t="s">
        <v>39</v>
      </c>
      <c r="E54" s="318">
        <v>22</v>
      </c>
      <c r="F54" s="127" t="s">
        <v>40</v>
      </c>
    </row>
    <row r="55" spans="1:11" ht="14.4" thickTop="1" thickBot="1" x14ac:dyDescent="0.3">
      <c r="B55" s="136" t="s">
        <v>30</v>
      </c>
      <c r="E55" s="126"/>
    </row>
    <row r="56" spans="1:11" ht="15" thickTop="1" thickBot="1" x14ac:dyDescent="0.3">
      <c r="B56" s="129" t="s">
        <v>14</v>
      </c>
      <c r="E56" s="316">
        <v>2500</v>
      </c>
      <c r="F56" s="127" t="s">
        <v>15</v>
      </c>
      <c r="G56" s="121" t="s">
        <v>86</v>
      </c>
      <c r="H56" s="137"/>
      <c r="I56" s="137"/>
    </row>
    <row r="57" spans="1:11" ht="14.4" thickTop="1" thickBot="1" x14ac:dyDescent="0.3">
      <c r="E57" s="126"/>
    </row>
    <row r="58" spans="1:11" ht="15" thickTop="1" thickBot="1" x14ac:dyDescent="0.3">
      <c r="B58" s="123" t="s">
        <v>16</v>
      </c>
      <c r="E58" s="316">
        <v>100000</v>
      </c>
      <c r="F58" s="127" t="s">
        <v>4</v>
      </c>
      <c r="G58" s="123" t="s">
        <v>56</v>
      </c>
      <c r="H58" s="128"/>
      <c r="I58" s="128"/>
      <c r="J58" s="128"/>
    </row>
    <row r="59" spans="1:11" ht="14.4" thickTop="1" x14ac:dyDescent="0.25">
      <c r="E59" s="138" t="s">
        <v>150</v>
      </c>
      <c r="J59" s="139">
        <f>(E70)</f>
        <v>0.17399999999999999</v>
      </c>
      <c r="K59" s="140" t="s">
        <v>4</v>
      </c>
    </row>
    <row r="60" spans="1:11" ht="13.8" x14ac:dyDescent="0.25">
      <c r="A60" s="319" t="s">
        <v>69</v>
      </c>
    </row>
    <row r="62" spans="1:11" ht="13.8" x14ac:dyDescent="0.25">
      <c r="A62" s="129" t="s">
        <v>70</v>
      </c>
    </row>
    <row r="63" spans="1:11" ht="13.8" x14ac:dyDescent="0.25">
      <c r="A63" s="123" t="s">
        <v>126</v>
      </c>
    </row>
    <row r="64" spans="1:11" ht="13.8" x14ac:dyDescent="0.25">
      <c r="A64" s="123" t="s">
        <v>127</v>
      </c>
    </row>
    <row r="65" spans="1:27" ht="13.8" x14ac:dyDescent="0.25">
      <c r="A65" s="105" t="s">
        <v>71</v>
      </c>
    </row>
    <row r="66" spans="1:27" ht="13.8" x14ac:dyDescent="0.25">
      <c r="A66" s="123" t="s">
        <v>128</v>
      </c>
    </row>
    <row r="67" spans="1:27" ht="13.8" x14ac:dyDescent="0.25">
      <c r="A67" s="141" t="s">
        <v>151</v>
      </c>
      <c r="B67" s="124"/>
      <c r="C67" s="124"/>
      <c r="D67" s="124"/>
      <c r="E67" s="142"/>
      <c r="F67" s="124"/>
      <c r="G67" s="124"/>
      <c r="H67" s="124"/>
      <c r="I67" s="124"/>
      <c r="J67" s="124"/>
      <c r="K67" s="124"/>
      <c r="X67" s="128"/>
    </row>
    <row r="68" spans="1:27" ht="13.8" x14ac:dyDescent="0.25">
      <c r="A68" s="123" t="s">
        <v>129</v>
      </c>
      <c r="B68" s="143"/>
      <c r="C68" s="124"/>
      <c r="D68" s="124"/>
      <c r="E68" s="124"/>
      <c r="F68" s="144"/>
      <c r="G68" s="143"/>
      <c r="H68" s="145"/>
      <c r="I68" s="145"/>
      <c r="J68" s="145"/>
      <c r="K68" s="124"/>
    </row>
    <row r="69" spans="1:27" ht="14.4" thickBot="1" x14ac:dyDescent="0.3">
      <c r="A69" s="123" t="s">
        <v>80</v>
      </c>
      <c r="E69" s="124"/>
      <c r="F69" s="124"/>
      <c r="G69" s="146"/>
    </row>
    <row r="70" spans="1:27" ht="15" thickTop="1" thickBot="1" x14ac:dyDescent="0.3">
      <c r="A70" s="147" t="s">
        <v>78</v>
      </c>
      <c r="B70" s="148"/>
      <c r="C70" s="148"/>
      <c r="D70" s="148"/>
      <c r="E70" s="149">
        <f>ROUND((((E24+0.00001)*(E31+0.00002)*(E38+0.00003))*(E26+E33+E40))/((E24+0.00001)*(E31+0.00002)*E40+(E24+0.00001)*(E38+0.00003)*E33+(E31+0.00002)*(E38+0.00003)*E26),3)</f>
        <v>0.17399999999999999</v>
      </c>
      <c r="F70" s="150" t="s">
        <v>4</v>
      </c>
    </row>
    <row r="71" spans="1:27" ht="13.8" thickTop="1" x14ac:dyDescent="0.25">
      <c r="E71" s="151"/>
    </row>
    <row r="72" spans="1:27" ht="13.8" x14ac:dyDescent="0.25">
      <c r="A72" s="152" t="s">
        <v>57</v>
      </c>
      <c r="B72" s="153"/>
      <c r="C72" s="153"/>
      <c r="D72" s="153"/>
      <c r="E72" s="153"/>
      <c r="F72" s="153"/>
      <c r="G72" s="153"/>
      <c r="H72" s="153"/>
      <c r="I72" s="153"/>
    </row>
    <row r="73" spans="1:27" x14ac:dyDescent="0.25">
      <c r="A73" s="136" t="s">
        <v>124</v>
      </c>
      <c r="J73" s="153"/>
      <c r="L73" s="124"/>
      <c r="M73" s="124"/>
      <c r="AA73" s="124"/>
    </row>
    <row r="74" spans="1:27" ht="14.4" thickBot="1" x14ac:dyDescent="0.3">
      <c r="L74" s="124"/>
      <c r="M74" s="124"/>
      <c r="P74" s="154"/>
      <c r="Q74" s="155"/>
      <c r="AA74" s="124"/>
    </row>
    <row r="75" spans="1:27" ht="15" thickTop="1" thickBot="1" x14ac:dyDescent="0.3">
      <c r="A75" s="156"/>
      <c r="B75" s="157"/>
      <c r="C75" s="158" t="s">
        <v>68</v>
      </c>
      <c r="D75" s="158"/>
      <c r="E75" s="158"/>
      <c r="F75" s="159"/>
      <c r="G75" s="160"/>
      <c r="H75" s="161" t="s">
        <v>136</v>
      </c>
      <c r="I75" s="162"/>
      <c r="J75" s="163" t="s">
        <v>144</v>
      </c>
      <c r="K75" s="164"/>
      <c r="L75" s="164"/>
      <c r="M75" s="165"/>
      <c r="N75" s="166"/>
      <c r="O75" s="167"/>
      <c r="P75" s="168" t="s">
        <v>168</v>
      </c>
      <c r="Q75" s="168"/>
      <c r="R75" s="168"/>
      <c r="S75" s="167"/>
      <c r="T75" s="167"/>
      <c r="U75" s="167"/>
      <c r="V75" s="167"/>
      <c r="W75" s="167"/>
      <c r="X75" s="167"/>
      <c r="Y75" s="167"/>
      <c r="Z75" s="167"/>
      <c r="AA75" s="169"/>
    </row>
    <row r="76" spans="1:27" ht="15" thickTop="1" thickBot="1" x14ac:dyDescent="0.3">
      <c r="A76" s="170" t="s">
        <v>67</v>
      </c>
      <c r="B76" s="171" t="s">
        <v>61</v>
      </c>
      <c r="C76" s="172"/>
      <c r="D76" s="173" t="s">
        <v>62</v>
      </c>
      <c r="E76" s="172"/>
      <c r="F76" s="174" t="s">
        <v>63</v>
      </c>
      <c r="G76" s="175"/>
      <c r="H76" s="176" t="s">
        <v>64</v>
      </c>
      <c r="I76" s="177"/>
      <c r="J76" s="178" t="s">
        <v>72</v>
      </c>
      <c r="K76" s="179"/>
      <c r="L76" s="179"/>
      <c r="M76" s="180"/>
      <c r="N76" s="181" t="s">
        <v>73</v>
      </c>
      <c r="O76" s="182"/>
      <c r="P76" s="183"/>
      <c r="Q76" s="184" t="s">
        <v>74</v>
      </c>
      <c r="R76" s="185"/>
      <c r="S76" s="182"/>
      <c r="T76" s="182"/>
      <c r="U76" s="182"/>
      <c r="V76" s="182"/>
      <c r="W76" s="182"/>
      <c r="X76" s="182"/>
      <c r="Y76" s="182"/>
      <c r="Z76" s="182"/>
      <c r="AA76" s="183"/>
    </row>
    <row r="77" spans="1:27" ht="14.4" thickTop="1" x14ac:dyDescent="0.25">
      <c r="A77" s="170" t="s">
        <v>37</v>
      </c>
      <c r="B77" s="186" t="s">
        <v>82</v>
      </c>
      <c r="C77" s="187" t="s">
        <v>36</v>
      </c>
      <c r="D77" s="188" t="s">
        <v>83</v>
      </c>
      <c r="E77" s="187" t="s">
        <v>35</v>
      </c>
      <c r="F77" s="189" t="s">
        <v>84</v>
      </c>
      <c r="G77" s="190" t="s">
        <v>34</v>
      </c>
      <c r="H77" s="188" t="s">
        <v>152</v>
      </c>
      <c r="I77" s="142" t="s">
        <v>65</v>
      </c>
      <c r="J77" s="191" t="s">
        <v>170</v>
      </c>
      <c r="K77" s="192" t="s">
        <v>172</v>
      </c>
      <c r="L77" s="193" t="s">
        <v>173</v>
      </c>
      <c r="M77" s="194" t="s">
        <v>174</v>
      </c>
      <c r="N77" s="195" t="s">
        <v>23</v>
      </c>
      <c r="O77" s="196" t="s">
        <v>50</v>
      </c>
      <c r="P77" s="197" t="s">
        <v>25</v>
      </c>
      <c r="Q77" s="198" t="s">
        <v>24</v>
      </c>
      <c r="R77" s="199" t="s">
        <v>27</v>
      </c>
      <c r="S77" s="199" t="s">
        <v>180</v>
      </c>
      <c r="T77" s="199" t="s">
        <v>45</v>
      </c>
      <c r="U77" s="199" t="s">
        <v>51</v>
      </c>
      <c r="V77" s="199" t="s">
        <v>48</v>
      </c>
      <c r="W77" s="199" t="s">
        <v>52</v>
      </c>
      <c r="X77" s="199" t="s">
        <v>53</v>
      </c>
      <c r="Y77" s="200" t="s">
        <v>54</v>
      </c>
      <c r="Z77" s="201" t="s">
        <v>163</v>
      </c>
      <c r="AA77" s="202" t="s">
        <v>165</v>
      </c>
    </row>
    <row r="78" spans="1:27" ht="13.8" thickBot="1" x14ac:dyDescent="0.3">
      <c r="A78" s="203" t="s">
        <v>20</v>
      </c>
      <c r="B78" s="204" t="s">
        <v>19</v>
      </c>
      <c r="C78" s="205" t="s">
        <v>18</v>
      </c>
      <c r="D78" s="206" t="s">
        <v>19</v>
      </c>
      <c r="E78" s="205" t="s">
        <v>18</v>
      </c>
      <c r="F78" s="206" t="s">
        <v>19</v>
      </c>
      <c r="G78" s="190" t="s">
        <v>18</v>
      </c>
      <c r="H78" s="207" t="s">
        <v>66</v>
      </c>
      <c r="I78" s="208"/>
      <c r="J78" s="209" t="s">
        <v>130</v>
      </c>
      <c r="K78" s="210" t="s">
        <v>130</v>
      </c>
      <c r="L78" s="210" t="s">
        <v>130</v>
      </c>
      <c r="M78" s="211" t="s">
        <v>130</v>
      </c>
      <c r="N78" s="212" t="s">
        <v>18</v>
      </c>
      <c r="O78" s="213" t="s">
        <v>18</v>
      </c>
      <c r="P78" s="214" t="s">
        <v>26</v>
      </c>
      <c r="Q78" s="215" t="s">
        <v>85</v>
      </c>
      <c r="R78" s="216" t="s">
        <v>18</v>
      </c>
      <c r="S78" s="217" t="s">
        <v>22</v>
      </c>
      <c r="T78" s="217" t="s">
        <v>46</v>
      </c>
      <c r="U78" s="217" t="s">
        <v>47</v>
      </c>
      <c r="V78" s="210" t="s">
        <v>49</v>
      </c>
      <c r="W78" s="216" t="s">
        <v>18</v>
      </c>
      <c r="X78" s="218" t="s">
        <v>18</v>
      </c>
      <c r="Y78" s="218" t="s">
        <v>18</v>
      </c>
      <c r="Z78" s="154" t="s">
        <v>164</v>
      </c>
      <c r="AA78" s="219" t="s">
        <v>22</v>
      </c>
    </row>
    <row r="79" spans="1:27" ht="14.4" thickTop="1" x14ac:dyDescent="0.25">
      <c r="A79" s="170"/>
      <c r="B79" s="220"/>
      <c r="C79" s="221"/>
      <c r="D79" s="222"/>
      <c r="E79" s="221"/>
      <c r="F79" s="223"/>
      <c r="G79" s="224"/>
      <c r="H79" s="225"/>
      <c r="I79" s="226"/>
      <c r="J79" s="333" t="s">
        <v>171</v>
      </c>
      <c r="K79" s="334"/>
      <c r="L79" s="334"/>
      <c r="M79" s="335"/>
      <c r="N79" s="227"/>
      <c r="O79" s="228"/>
      <c r="P79" s="226"/>
      <c r="Q79" s="225"/>
      <c r="R79" s="228"/>
      <c r="S79" s="228"/>
      <c r="T79" s="228"/>
      <c r="U79" s="228"/>
      <c r="V79" s="228"/>
      <c r="W79" s="228"/>
      <c r="X79" s="228"/>
      <c r="Y79" s="228"/>
      <c r="Z79" s="151"/>
      <c r="AA79" s="229"/>
    </row>
    <row r="80" spans="1:27" ht="13.8" x14ac:dyDescent="0.25">
      <c r="A80" s="170">
        <v>35</v>
      </c>
      <c r="B80" s="230">
        <f>ROUND(((0.6631*E43*A80^2*((E15/Q80)^0.5)*10^-3)*AA80),2)</f>
        <v>2.2400000000000002</v>
      </c>
      <c r="C80" s="221">
        <f t="shared" ref="C80:C105" si="0">ROUND((B80*10^3/(8*(P80*10^-3)*R80^2)*(2.3/0.6631)/AA80),2)</f>
        <v>3.58</v>
      </c>
      <c r="D80" s="231">
        <f>ROUND((0.001/(((LN(E15*(A80^4)/(Q80*(E56/3.14159)^2))/2.302585)-0.436)*(0.6325/A80^2)))*E17,2)</f>
        <v>0.8</v>
      </c>
      <c r="E80" s="221">
        <f>ROUND((D80/B80)*C80,2)</f>
        <v>1.28</v>
      </c>
      <c r="F80" s="231">
        <f>ROUND(((0.66663*(0.75*(E15/30000))*(A80*6.28318*((E56/3.14159)^0.5+(0.5*A80))*0.5))*(1+((E56/3.14159)/O80^2)))*10^-3,2)</f>
        <v>2.85</v>
      </c>
      <c r="G80" s="232">
        <f>ROUND((F80/B80)*C80,2)</f>
        <v>4.55</v>
      </c>
      <c r="H80" s="231">
        <f>ROUND(((E17*10^3-U80)*4*(A80*10^-3)^2*D80)/(D80*S80*6*E52+4*(A80*10^-3)^2*E17*10^3),2)</f>
        <v>-0.4</v>
      </c>
      <c r="I80" s="221">
        <f>ROUND((W80+X80+Y80),2)</f>
        <v>3.81</v>
      </c>
      <c r="J80" s="233">
        <f>IF(2000&lt;O80,"",ROUND((1+3*((1-(1000/O80))^2)+2*(1-(2^0.5*1000)/O80)^2),2))</f>
        <v>1.85</v>
      </c>
      <c r="K80" s="320">
        <f>IF(4000&lt;O80,"",ROUND((1+3*((1-(2000/O80))^2)+(1-(2^0.5*2000)/O80)^2),2))</f>
        <v>1.21</v>
      </c>
      <c r="L80" s="320">
        <f>IF(6000&lt;O80,"",ROUND((1+3*((1-(3000/O80))^2)+(1-(2^0.5*3000)/O80)^2),2))</f>
        <v>3.32</v>
      </c>
      <c r="M80" s="321">
        <f>IF(8000&lt;O80,"",ROUND((1+3*((1-(4000/O80))^2)+(1-(2^0.5*4000)/O80)^2),2))</f>
        <v>8.08</v>
      </c>
      <c r="N80" s="236">
        <f>ROUND((1.0745*(E15/Q80)^0.25*A80),0)</f>
        <v>1292</v>
      </c>
      <c r="O80" s="234">
        <f>ROUND((1.5*N80),0)</f>
        <v>1938</v>
      </c>
      <c r="P80" s="235">
        <f t="shared" ref="P80:P105" si="1">ROUND(((Q80/A80)*1000),4)</f>
        <v>0.69640000000000002</v>
      </c>
      <c r="Q80" s="237">
        <f>(E58/(((E26+E33+E40)/A80)*((E58/(E70+0.0001)))+0.83*((E15/E58)^0.333)-((E26+E33+E40)/A80)))</f>
        <v>2.437403899237742E-2</v>
      </c>
      <c r="R80" s="238">
        <f>(((E15*(A80^3))/(12*(10^-3)*P80)))^0.25</f>
        <v>646.26518463935986</v>
      </c>
      <c r="S80" s="238">
        <f>((E15*10^3*(A80*10^-3)^3*0.08333)/(T80+(E15*10^3*(A80*10^-3)^3*0.08333)))</f>
        <v>0.18142401435437677</v>
      </c>
      <c r="T80" s="238">
        <f>(D80*E52^2*300)/(48*V80)</f>
        <v>548.0859375</v>
      </c>
      <c r="U80" s="238">
        <f>(S80*E50*E52^2*6)/(8*(A80*10^-3)^2)</f>
        <v>3998.7333776066716</v>
      </c>
      <c r="V80" s="238">
        <f>((1+(0.625*(E50+A80*10^-3*E54)*E52)/D80)^-1)</f>
        <v>8.2103912764592696E-2</v>
      </c>
      <c r="W80" s="238">
        <f>(5*E50*S80*E52^4)/(384*E15*10^3*(A80*10^-3)^3*0.08333)*10^3</f>
        <v>6.3007773109348806</v>
      </c>
      <c r="X80" s="238">
        <f>(H80*E52^3)/(48*E15*10^3*(A80*10^-3)^3*0.08333)*10^3</f>
        <v>-1.8522435289454107</v>
      </c>
      <c r="Y80" s="238">
        <f>(H80/D80)*E80</f>
        <v>-0.64</v>
      </c>
      <c r="Z80" s="239">
        <f>(1-((4*(100^3-0.1795*E56^1.5))/(2*9*R80*(100^2-0.318*E56))))^2</f>
        <v>0.92829910650112113</v>
      </c>
      <c r="AA80" s="240">
        <f>(V106+W106*Z80)^1</f>
        <v>0.93400486897079249</v>
      </c>
    </row>
    <row r="81" spans="1:27" ht="13.8" x14ac:dyDescent="0.25">
      <c r="A81" s="170">
        <v>40</v>
      </c>
      <c r="B81" s="230">
        <f>ROUND(((0.6631*E43*A81^2*((E15/Q81)^0.5)*10^-3)*AA81),2)</f>
        <v>2.76</v>
      </c>
      <c r="C81" s="221">
        <f t="shared" si="0"/>
        <v>3.58</v>
      </c>
      <c r="D81" s="231">
        <f>ROUND((0.001/(((LN(E15*(A81^4)/(Q81*(E56/3.14159)^2))/2.302585)-0.436)*(0.6325/A81^2)))*E17,2)</f>
        <v>1.01</v>
      </c>
      <c r="E81" s="221">
        <f t="shared" ref="E81:E104" si="2">ROUND((D81/B81)*C81,2)</f>
        <v>1.31</v>
      </c>
      <c r="F81" s="231">
        <f>ROUND(((0.66663*(0.75*(E15/30000))*(A81*6.28318*((E56/3.14159)^0.5+(0.5*A81))*0.5))*(1+((E56/3.14159)/O81^2)))*10^-3,2)</f>
        <v>3.43</v>
      </c>
      <c r="G81" s="232">
        <f t="shared" ref="G81:G105" si="3">ROUND((F81/B81)*C81,2)</f>
        <v>4.45</v>
      </c>
      <c r="H81" s="231">
        <f>ROUND(((E17*10^3-U81)*4*(A81*10^-3)^2*D81)/(D81*S81*6*E52+4*(A81*10^-3)^2*E17*10^3),2)</f>
        <v>-0.5</v>
      </c>
      <c r="I81" s="221">
        <f t="shared" ref="I81:I104" si="4">ROUND((W81+X81+Y81),2)</f>
        <v>3.4</v>
      </c>
      <c r="J81" s="233" t="str">
        <f t="shared" ref="J81:J105" si="5">IF(2000&lt;O81,"",ROUND((1+3*((1-(1000/O81))^2)+2*(1-(2^0.5*1000)/O81)^2),2))</f>
        <v/>
      </c>
      <c r="K81" s="322">
        <f>IF(4000&lt;O81,"",ROUND((1+3*((1-(2000/O81))^2)+(1-(2^0.5*2000)/O81)^2),2))</f>
        <v>1.1200000000000001</v>
      </c>
      <c r="L81" s="320">
        <f t="shared" ref="L81:L105" si="6">IF(6000&lt;O81,"",ROUND((1+3*((1-(3000/O81))^2)+(1-(2^0.5*3000)/O81)^2),2))</f>
        <v>2.44</v>
      </c>
      <c r="M81" s="321">
        <f t="shared" ref="M81:M105" si="7">IF(8000&lt;O81,"",ROUND((1+3*((1-(4000/O81))^2)+(1-(2^0.5*4000)/O81)^2),2))</f>
        <v>5.93</v>
      </c>
      <c r="N81" s="236">
        <f>ROUND((1.0745*(E15/Q81)^0.25*A81),0)</f>
        <v>1429</v>
      </c>
      <c r="O81" s="234">
        <f t="shared" ref="O81:O103" si="8">ROUND((1.5*N81),0)</f>
        <v>2144</v>
      </c>
      <c r="P81" s="235">
        <f t="shared" si="1"/>
        <v>0.69640000000000002</v>
      </c>
      <c r="Q81" s="237">
        <f>(E58/(((E26+E33+E40)/A81)*((E58/(E70+0.0001)))+0.83*((E15/E58)^0.333)-((E26+E33+E40)/A81)))</f>
        <v>2.7856044000622377E-2</v>
      </c>
      <c r="R81" s="238">
        <f>(((E15*(A81^3))/(12*(10^-3)*P81)))^0.25</f>
        <v>714.33959074224219</v>
      </c>
      <c r="S81" s="238">
        <f>((E15*10^3*(A81*10^-3)^3*0.08333)/(T81+(E15*10^3*(A81*10^-3)^3*0.08333)))</f>
        <v>0.24086051854101553</v>
      </c>
      <c r="T81" s="238">
        <f>(D81*E52^2*300)/(48*V81)</f>
        <v>571.5</v>
      </c>
      <c r="U81" s="238">
        <f>(S81*E50*E52^2*6)/(8*(A81*10^-3)^2)</f>
        <v>4064.5212503796365</v>
      </c>
      <c r="V81" s="238">
        <f>((1+(0.625*(E50+A81*10^-3*E54)*E52)/D81)^-1)</f>
        <v>9.9409448818897655E-2</v>
      </c>
      <c r="W81" s="238">
        <f>(5*E50*S81*E52^4)/(384*E15*10^3*(A81*10^-3)^3*0.08333)*10^3</f>
        <v>5.603883967462977</v>
      </c>
      <c r="X81" s="238">
        <f>(H81*E52^3)/(48*E15*10^3*(A81*10^-3)^3*0.08333)*10^3</f>
        <v>-1.551073072334658</v>
      </c>
      <c r="Y81" s="238">
        <f t="shared" ref="Y81:Y104" si="9">(H81/D81)*E81</f>
        <v>-0.64851485148514854</v>
      </c>
      <c r="Z81" s="239">
        <f>(1-((4*(100^3-0.1795*E56^1.5))/(2*9*R81*(100^2-0.318*E56))))^2</f>
        <v>0.93501701632575374</v>
      </c>
      <c r="AA81" s="240">
        <f>(V106+W106*Z81)^1</f>
        <v>0.9401881857676182</v>
      </c>
    </row>
    <row r="82" spans="1:27" ht="13.8" x14ac:dyDescent="0.25">
      <c r="A82" s="170">
        <v>45</v>
      </c>
      <c r="B82" s="230">
        <f>ROUND(((0.6631*E43*A82^2*((E15/Q82)^0.5)*10^-3)*AA82),2)</f>
        <v>3.3</v>
      </c>
      <c r="C82" s="221">
        <f t="shared" si="0"/>
        <v>3.57</v>
      </c>
      <c r="D82" s="231">
        <f>ROUND((0.001/(((LN(E15*(A82^4)/(Q82*(E56/3.14159)^2))/2.302585)-0.436)*(0.6325/A82^2)))*E17,2)</f>
        <v>1.25</v>
      </c>
      <c r="E82" s="221">
        <f t="shared" si="2"/>
        <v>1.35</v>
      </c>
      <c r="F82" s="231">
        <f>ROUND(((0.66663*(0.75*(E15/30000))*(A82*6.28318*((E56/3.14159)^0.5+(0.5*A82))*0.5))*(1+((E56/3.14159)/O82^2)))*10^-3,2)</f>
        <v>4.0599999999999996</v>
      </c>
      <c r="G82" s="232">
        <f t="shared" si="3"/>
        <v>4.3899999999999997</v>
      </c>
      <c r="H82" s="231">
        <f>ROUND(((E17*10^3-U82)*4*(A82*10^-3)^2*D82)/(D82*S82*6*E52+4*(A82*10^-3)^2*E17*10^3),2)</f>
        <v>-0.56999999999999995</v>
      </c>
      <c r="I82" s="221">
        <f t="shared" si="4"/>
        <v>3.08</v>
      </c>
      <c r="J82" s="233" t="str">
        <f t="shared" si="5"/>
        <v/>
      </c>
      <c r="K82" s="320">
        <f t="shared" ref="K82:K105" si="10">IF(4000&lt;O82,"",ROUND((1+3*((1-(2000/O82))^2)+(1-(2^0.5*2000)/O82)^2),2))</f>
        <v>1.1100000000000001</v>
      </c>
      <c r="L82" s="320">
        <f t="shared" si="6"/>
        <v>1.9</v>
      </c>
      <c r="M82" s="321">
        <f t="shared" si="7"/>
        <v>4.51</v>
      </c>
      <c r="N82" s="236">
        <f>ROUND((1.0745*(E15/Q82)^0.25*A82),0)</f>
        <v>1561</v>
      </c>
      <c r="O82" s="234">
        <f t="shared" si="8"/>
        <v>2342</v>
      </c>
      <c r="P82" s="235">
        <f t="shared" si="1"/>
        <v>0.69640000000000002</v>
      </c>
      <c r="Q82" s="237">
        <f>(E58/(((E26+E33+E40)/A82)*((E58/(E70+0.0001)))+0.83*((E15/E58)^0.333)-((E26+E33+E40)/A82)))</f>
        <v>3.1338048868343689E-2</v>
      </c>
      <c r="R82" s="238">
        <f>(((E15*(A82^3))/(12*(10^-3)*P82)))^0.25</f>
        <v>780.31348539780436</v>
      </c>
      <c r="S82" s="238">
        <f>((E15*10^3*(A82*10^-3)^3*0.08333)/(T82+(E15*10^3*(A82*10^-3)^3*0.08333)))</f>
        <v>0.3020397699762617</v>
      </c>
      <c r="T82" s="238">
        <f>(D82*E52^2*300)/(48*V82)</f>
        <v>596.60156250000011</v>
      </c>
      <c r="U82" s="238">
        <f>(S82*E50*E52^2*6)/(8*(A82*10^-3)^2)</f>
        <v>4027.1969330168226</v>
      </c>
      <c r="V82" s="238">
        <f>((1+(0.625*(E50+A82*10^-3*E54)*E52)/D82)^-1)</f>
        <v>0.11785503830288743</v>
      </c>
      <c r="W82" s="238">
        <f>(5*E50*S82*E52^4)/(384*E15*10^3*(A82*10^-3)^3*0.08333)*10^3</f>
        <v>4.9354877786003861</v>
      </c>
      <c r="X82" s="238">
        <f>(H82*E52^3)/(48*E15*10^3*(A82*10^-3)^3*0.08333)*10^3</f>
        <v>-1.2418797405490989</v>
      </c>
      <c r="Y82" s="238">
        <f t="shared" si="9"/>
        <v>-0.61560000000000004</v>
      </c>
      <c r="Z82" s="239">
        <f>(1-((4*(100^3-0.1795*E56^1.5))/(2*9*R82*(100^2-0.318*E56))))^2</f>
        <v>0.94042671508279241</v>
      </c>
      <c r="AA82" s="240">
        <f>(V106+W106*Z82)^1</f>
        <v>0.94516739538241745</v>
      </c>
    </row>
    <row r="83" spans="1:27" ht="13.8" x14ac:dyDescent="0.25">
      <c r="A83" s="170">
        <v>50</v>
      </c>
      <c r="B83" s="230">
        <f>ROUND(((0.6631*E43*A83^2*((E15/Q83)^0.5)*10^-3)*AA83),2)</f>
        <v>3.89</v>
      </c>
      <c r="C83" s="221">
        <f t="shared" si="0"/>
        <v>3.58</v>
      </c>
      <c r="D83" s="231">
        <f>ROUND((0.001/(((LN(E15*(A83^4)/(Q83*(E56/3.14159)^2))/2.302585)-0.436)*(0.6325/A83^2)))*E17,2)</f>
        <v>1.51</v>
      </c>
      <c r="E83" s="221">
        <f t="shared" si="2"/>
        <v>1.39</v>
      </c>
      <c r="F83" s="231">
        <f>ROUND(((0.66663*(0.75*(E15/30000))*(A83*6.28318*((E56/3.14159)^0.5+(0.5*A83))*0.5))*(1+((E56/3.14159)/O83^2)))*10^-3,2)</f>
        <v>4.74</v>
      </c>
      <c r="G83" s="232">
        <f t="shared" si="3"/>
        <v>4.3600000000000003</v>
      </c>
      <c r="H83" s="231">
        <f>ROUND(((E17*10^3-U83)*4*(A83*10^-3)^2*D83)/(D83*S83*6*E52+4*(A83*10^-3)^2*E17*10^3),2)</f>
        <v>-0.61</v>
      </c>
      <c r="I83" s="221">
        <f t="shared" si="4"/>
        <v>2.79</v>
      </c>
      <c r="J83" s="233" t="str">
        <f t="shared" si="5"/>
        <v/>
      </c>
      <c r="K83" s="320">
        <f t="shared" si="10"/>
        <v>1.1499999999999999</v>
      </c>
      <c r="L83" s="320">
        <f t="shared" si="6"/>
        <v>1.56</v>
      </c>
      <c r="M83" s="321">
        <f t="shared" si="7"/>
        <v>3.52</v>
      </c>
      <c r="N83" s="236">
        <f>ROUND((1.0745*(E15/Q83)^0.25*A83),0)</f>
        <v>1689</v>
      </c>
      <c r="O83" s="234">
        <f t="shared" si="8"/>
        <v>2534</v>
      </c>
      <c r="P83" s="235">
        <f t="shared" si="1"/>
        <v>0.69640000000000002</v>
      </c>
      <c r="Q83" s="237">
        <f>(E58/(((E26+E33+E40)/A83)*((E58/(E70+0.0001)))+0.83*((E15/E58)^0.333)-((E26+E33+E40)/A83)))</f>
        <v>3.4820053595541363E-2</v>
      </c>
      <c r="R83" s="238">
        <f>(((E15*(A83^3))/(12*(10^-3)*P83)))^0.25</f>
        <v>844.47584240404717</v>
      </c>
      <c r="S83" s="238">
        <f>((E15*10^3*(A83*10^-3)^3*0.08333)/(T83+(E15*10^3*(A83*10^-3)^3*0.08333)))</f>
        <v>0.36249695330447329</v>
      </c>
      <c r="T83" s="238">
        <f>(D83*E52^2*300)/(48*V83)</f>
        <v>622.82812499999989</v>
      </c>
      <c r="U83" s="238">
        <f>(S83*E50*E52^2*6)/(8*(A83*10^-3)^2)</f>
        <v>3914.9670956883106</v>
      </c>
      <c r="V83" s="238">
        <f>((1+(0.625*(E50+A83*10^-3*E54)*E52)/D83)^-1)</f>
        <v>0.13637389930006774</v>
      </c>
      <c r="W83" s="238">
        <f>(5*E50*S83*E52^4)/(384*E15*10^3*(A83*10^-3)^3*0.08333)*10^3</f>
        <v>4.318151140407724</v>
      </c>
      <c r="X83" s="238">
        <f>(H83*E52^3)/(48*E15*10^3*(A83*10^-3)^3*0.08333)*10^3</f>
        <v>-0.96886228390312057</v>
      </c>
      <c r="Y83" s="238">
        <f t="shared" si="9"/>
        <v>-0.561523178807947</v>
      </c>
      <c r="Z83" s="239">
        <f>(1-((4*(100^3-0.1795*E56^1.5))/(2*9*R83*(100^2-0.318*E56))))^2</f>
        <v>0.94488881107635136</v>
      </c>
      <c r="AA83" s="240">
        <f>(V106+W106*Z83)^1</f>
        <v>0.94927440988934864</v>
      </c>
    </row>
    <row r="84" spans="1:27" ht="13.8" x14ac:dyDescent="0.25">
      <c r="A84" s="170">
        <v>55</v>
      </c>
      <c r="B84" s="230">
        <f>ROUND(((0.6631*E43*A84^2*((E15/Q84)^0.5)*10^-3)*AA84),2)</f>
        <v>4.5</v>
      </c>
      <c r="C84" s="221">
        <f t="shared" si="0"/>
        <v>3.57</v>
      </c>
      <c r="D84" s="231">
        <f>ROUND((0.001/(((LN(E15*(A84^4)/(Q84*(E56/3.14159)^2))/2.302585)-0.436)*(0.6325/A84^2)))*E17,2)</f>
        <v>1.79</v>
      </c>
      <c r="E84" s="221">
        <f t="shared" si="2"/>
        <v>1.42</v>
      </c>
      <c r="F84" s="231">
        <f>ROUND(((0.66663*(0.75*(E15/30000))*(A84*6.28318*((E56/3.14159)^0.5+(0.5*A84))*0.5))*(1+((E56/3.14159)/O84^2)))*10^-3,2)</f>
        <v>5.45</v>
      </c>
      <c r="G84" s="232">
        <f t="shared" si="3"/>
        <v>4.32</v>
      </c>
      <c r="H84" s="231">
        <f>ROUND(((E17*10^3-U84)*4*(A84*10^-3)^2*D84)/(D84*S84*6*E52+4*(A84*10^-3)^2*E17*10^3),2)</f>
        <v>-0.62</v>
      </c>
      <c r="I84" s="221">
        <f t="shared" si="4"/>
        <v>2.5299999999999998</v>
      </c>
      <c r="J84" s="233" t="str">
        <f t="shared" si="5"/>
        <v/>
      </c>
      <c r="K84" s="320">
        <f t="shared" si="10"/>
        <v>1.21</v>
      </c>
      <c r="L84" s="320">
        <f t="shared" si="6"/>
        <v>1.34</v>
      </c>
      <c r="M84" s="321">
        <f t="shared" si="7"/>
        <v>2.83</v>
      </c>
      <c r="N84" s="236">
        <f>ROUND((1.0745*(E15/Q84)^0.25*A84),0)</f>
        <v>1814</v>
      </c>
      <c r="O84" s="234">
        <f t="shared" si="8"/>
        <v>2721</v>
      </c>
      <c r="P84" s="235">
        <f t="shared" si="1"/>
        <v>0.69640000000000002</v>
      </c>
      <c r="Q84" s="237">
        <f>(E58/(((E26+E33+E40)/A84)*((E58/(E70+0.0001)))+0.83*((E15/E58)^0.333)-((E26+E33+E40)/A84)))</f>
        <v>3.8302058182215409E-2</v>
      </c>
      <c r="R84" s="238">
        <f>(((E15*(A84^3))/(12*(10^-3)*P84)))^0.25</f>
        <v>907.05107894310788</v>
      </c>
      <c r="S84" s="238">
        <f>((E15*10^3*(A84*10^-3)^3*0.08333)/(T84+(E15*10^3*(A84*10^-3)^3*0.08333)))</f>
        <v>0.42028815146847714</v>
      </c>
      <c r="T84" s="238">
        <f>(D84*E52^2*300)/(48*V84)</f>
        <v>650.17968749999989</v>
      </c>
      <c r="U84" s="238">
        <f>(S84*E50*E52^2*6)/(8*(A84*10^-3)^2)</f>
        <v>3751.3322610409527</v>
      </c>
      <c r="V84" s="238">
        <f>((1+(0.625*(E50+A84*10^-3*E54)*E52)/D84)^-1)</f>
        <v>0.15486103601167947</v>
      </c>
      <c r="W84" s="238">
        <f>(5*E50*S84*E52^4)/(384*E15*10^3*(A84*10^-3)^3*0.08333)*10^3</f>
        <v>3.7615130217250332</v>
      </c>
      <c r="X84" s="238">
        <f>(H84*E52^3)/(48*E15*10^3*(A84*10^-3)^3*0.08333)*10^3</f>
        <v>-0.73985369809453627</v>
      </c>
      <c r="Y84" s="238">
        <f t="shared" si="9"/>
        <v>-0.49184357541899432</v>
      </c>
      <c r="Z84" s="239">
        <f>(1-((4*(100^3-0.1795*E56^1.5))/(2*9*R84*(100^2-0.318*E56))))^2</f>
        <v>0.94864063603753912</v>
      </c>
      <c r="AA84" s="240">
        <f>(V106+W106*Z84)^1</f>
        <v>0.9527276748046053</v>
      </c>
    </row>
    <row r="85" spans="1:27" ht="13.8" x14ac:dyDescent="0.25">
      <c r="A85" s="170">
        <v>60</v>
      </c>
      <c r="B85" s="230">
        <f>ROUND(((0.6631*E43*A85^2*((E15/Q85)^0.5)*10^-3)*AA85),2)</f>
        <v>5.14</v>
      </c>
      <c r="C85" s="221">
        <f t="shared" si="0"/>
        <v>3.57</v>
      </c>
      <c r="D85" s="231">
        <f>ROUND((0.001/(((LN(E15*(A85^4)/(Q85*(E56/3.14159)^2))/2.302585)-0.436)*(0.6325/A85^2)))*E17,2)</f>
        <v>2.1</v>
      </c>
      <c r="E85" s="221">
        <f t="shared" si="2"/>
        <v>1.46</v>
      </c>
      <c r="F85" s="231">
        <f>ROUND(((0.66663*(0.75*(E15/30000))*(A85*6.28318*((E56/3.14159)^0.5+(0.5*A85))*0.5))*(1+((E56/3.14159)/O85^2)))*10^-3,2)</f>
        <v>6.22</v>
      </c>
      <c r="G85" s="232">
        <f t="shared" si="3"/>
        <v>4.32</v>
      </c>
      <c r="H85" s="231">
        <f>ROUND(((E17*10^3-U85)*4*(A85*10^-3)^2*D85)/(D85*S85*6*E52+4*(A85*10^-3)^2*E17*10^3),2)</f>
        <v>-0.59</v>
      </c>
      <c r="I85" s="221">
        <f t="shared" si="4"/>
        <v>2.31</v>
      </c>
      <c r="J85" s="241" t="str">
        <f t="shared" si="5"/>
        <v/>
      </c>
      <c r="K85" s="320">
        <f t="shared" si="10"/>
        <v>1.29</v>
      </c>
      <c r="L85" s="320">
        <f t="shared" si="6"/>
        <v>1.22</v>
      </c>
      <c r="M85" s="321">
        <f t="shared" si="7"/>
        <v>2.33</v>
      </c>
      <c r="N85" s="236">
        <f>ROUND((1.0745*(E15/Q85)^0.25*A85),0)</f>
        <v>1936</v>
      </c>
      <c r="O85" s="234">
        <f t="shared" si="8"/>
        <v>2904</v>
      </c>
      <c r="P85" s="235">
        <f t="shared" si="1"/>
        <v>0.69640000000000002</v>
      </c>
      <c r="Q85" s="237">
        <f>(E58/(((E26+E33+E40)/A85)*((E58/(E70+0.0001)))+0.83*((E15/E58)^0.333)-((E26+E33+E40)/A85)))</f>
        <v>4.1784062628365835E-2</v>
      </c>
      <c r="R85" s="238">
        <f>(((E15*(A85^3))/(12*(10^-3)*P85)))^0.25</f>
        <v>968.21802817878938</v>
      </c>
      <c r="S85" s="238">
        <f>((E15*10^3*(A85*10^-3)^3*0.08333)/(T85+(E15*10^3*(A85*10^-3)^3*0.08333)))</f>
        <v>0.47396083937082517</v>
      </c>
      <c r="T85" s="238">
        <f>(D85*E52^2*300)/(48*V85)</f>
        <v>679.21875000000023</v>
      </c>
      <c r="U85" s="238">
        <f>(S85*E50*E52^2*6)/(8*(A85*10^-3)^2)</f>
        <v>3554.7062952811884</v>
      </c>
      <c r="V85" s="238">
        <f>((1+(0.625*(E50+A85*10^-3*E54)*E52)/D85)^-1)</f>
        <v>0.17391304347826084</v>
      </c>
      <c r="W85" s="238">
        <f>(5*E50*S85*E52^4)/(384*E15*10^3*(A85*10^-3)^3*0.08333)*10^3</f>
        <v>3.267323979063196</v>
      </c>
      <c r="X85" s="238">
        <f>(H85*E52^3)/(48*E15*10^3*(A85*10^-3)^3*0.08333)*10^3</f>
        <v>-0.54230110380885821</v>
      </c>
      <c r="Y85" s="238">
        <f t="shared" si="9"/>
        <v>-0.41019047619047616</v>
      </c>
      <c r="Z85" s="239">
        <f>(1-((4*(100^3-0.1795*E56^1.5))/(2*9*R85*(100^2-0.318*E56))))^2</f>
        <v>0.95184518785457062</v>
      </c>
      <c r="AA85" s="240">
        <f>(V106+W106*Z85)^1</f>
        <v>0.95567721708692266</v>
      </c>
    </row>
    <row r="86" spans="1:27" ht="13.8" x14ac:dyDescent="0.25">
      <c r="A86" s="170">
        <v>65</v>
      </c>
      <c r="B86" s="230">
        <f>ROUND(((0.6631*E43*A86^2*((E15/Q86)^0.5)*10^-3)*AA86),2)</f>
        <v>5.82</v>
      </c>
      <c r="C86" s="221">
        <f t="shared" si="0"/>
        <v>3.58</v>
      </c>
      <c r="D86" s="231">
        <f>ROUND((0.001/(((LN(E15*(A86^4)/(Q86*(E56/3.14159)^2))/2.302585)-0.436)*(0.6325/A86^2)))*E17,2)</f>
        <v>2.42</v>
      </c>
      <c r="E86" s="221">
        <f t="shared" si="2"/>
        <v>1.49</v>
      </c>
      <c r="F86" s="231">
        <f>ROUND(((0.66663*(0.75*(E15/30000))*(A86*6.28318*((E56/3.14159)^0.5+(0.5*A86))*0.5))*(1+((E56/3.14159)/O86^2)))*10^-3,2)</f>
        <v>7.03</v>
      </c>
      <c r="G86" s="232">
        <f t="shared" si="3"/>
        <v>4.32</v>
      </c>
      <c r="H86" s="231">
        <f>ROUND(((E17*10^3-U86)*4*(A86*10^-3)^2*D86)/(D86*S86*6*E52+4*(A86*10^-3)^2*E17*10^3),2)</f>
        <v>-0.53</v>
      </c>
      <c r="I86" s="221">
        <f t="shared" si="4"/>
        <v>2.13</v>
      </c>
      <c r="J86" s="241" t="str">
        <f t="shared" si="5"/>
        <v/>
      </c>
      <c r="K86" s="320">
        <f t="shared" si="10"/>
        <v>1.38</v>
      </c>
      <c r="L86" s="320">
        <f t="shared" si="6"/>
        <v>1.1399999999999999</v>
      </c>
      <c r="M86" s="321">
        <f t="shared" si="7"/>
        <v>1.96</v>
      </c>
      <c r="N86" s="236">
        <f>ROUND((1.0745*(E15/Q86)^0.25*A86),0)</f>
        <v>2056</v>
      </c>
      <c r="O86" s="234">
        <f t="shared" si="8"/>
        <v>3084</v>
      </c>
      <c r="P86" s="235">
        <f t="shared" si="1"/>
        <v>0.69640000000000002</v>
      </c>
      <c r="Q86" s="237">
        <f>(E58/(((E26+E33+E40)/A86)*((E58/(E70+0.0001)))+0.83*((E15/E58)^0.333)-((E26+E33+E40)/A86)))</f>
        <v>4.5266066933992655E-2</v>
      </c>
      <c r="R86" s="238">
        <f>(((E15*(A86^3))/(12*(10^-3)*P86)))^0.25</f>
        <v>1028.1222183479611</v>
      </c>
      <c r="S86" s="238">
        <f>((E15*10^3*(A86*10^-3)^3*0.08333)/(T86+(E15*10^3*(A86*10^-3)^3*0.08333)))</f>
        <v>0.52328772597144335</v>
      </c>
      <c r="T86" s="238">
        <f>(D86*E52^2*300)/(48*V86)</f>
        <v>708.82031249999989</v>
      </c>
      <c r="U86" s="238">
        <f>(S86*E50*E52^2*6)/(8*(A86*10^-3)^2)</f>
        <v>3344.0872428944308</v>
      </c>
      <c r="V86" s="238">
        <f>((1+(0.625*(E50+A86*10^-3*E54)*E52)/D86)^-1)</f>
        <v>0.19204444003571078</v>
      </c>
      <c r="W86" s="238">
        <f>(5*E50*S86*E52^4)/(384*E15*10^3*(A86*10^-3)^3*0.08333)*10^3</f>
        <v>2.8372915823542697</v>
      </c>
      <c r="X86" s="238">
        <f>(H86*E52^3)/(48*E15*10^3*(A86*10^-3)^3*0.08333)*10^3</f>
        <v>-0.38315811461878263</v>
      </c>
      <c r="Y86" s="238">
        <f t="shared" si="9"/>
        <v>-0.32632231404958678</v>
      </c>
      <c r="Z86" s="239">
        <f>(1-((4*(100^3-0.1795*E56^1.5))/(2*9*R86*(100^2-0.318*E56))))^2</f>
        <v>0.95461835888270308</v>
      </c>
      <c r="AA86" s="240">
        <f>(V106+W106*Z86)^1</f>
        <v>0.95822970669252105</v>
      </c>
    </row>
    <row r="87" spans="1:27" ht="13.8" x14ac:dyDescent="0.25">
      <c r="A87" s="170">
        <v>70</v>
      </c>
      <c r="B87" s="230">
        <f>ROUND(((0.6631*E43*A87^2*((E15/Q87)^0.5)*10^-3)*AA87),2)</f>
        <v>6.52</v>
      </c>
      <c r="C87" s="221">
        <f t="shared" si="0"/>
        <v>3.58</v>
      </c>
      <c r="D87" s="231">
        <f>ROUND((0.001/(((LN(E15*(A87^4)/(Q87*(E56/3.14159)^2))/2.302585)-0.436)*(0.6325/A87^2)))*E17,2)</f>
        <v>2.77</v>
      </c>
      <c r="E87" s="221">
        <f t="shared" si="2"/>
        <v>1.52</v>
      </c>
      <c r="F87" s="231">
        <f>ROUND(((0.66663*(0.75*(E15/30000))*(A87*6.28318*((E56/3.14159)^0.5+(0.5*A87))*0.5))*(1+((E56/3.14159)/O87^2)))*10^-3,2)</f>
        <v>7.88</v>
      </c>
      <c r="G87" s="232">
        <f t="shared" si="3"/>
        <v>4.33</v>
      </c>
      <c r="H87" s="231">
        <f>ROUND(((E17*10^3-U87)*4*(A87*10^-3)^2*D87)/(D87*S87*6*E52+4*(A87*10^-3)^2*E17*10^3),2)</f>
        <v>-0.44</v>
      </c>
      <c r="I87" s="221">
        <f t="shared" si="4"/>
        <v>1.97</v>
      </c>
      <c r="J87" s="241" t="str">
        <f t="shared" si="5"/>
        <v/>
      </c>
      <c r="K87" s="320">
        <f t="shared" si="10"/>
        <v>1.47</v>
      </c>
      <c r="L87" s="322">
        <f t="shared" si="6"/>
        <v>1.1100000000000001</v>
      </c>
      <c r="M87" s="321">
        <f t="shared" si="7"/>
        <v>1.69</v>
      </c>
      <c r="N87" s="236">
        <f>ROUND((1.0745*(E15/Q87)^0.25*A87),0)</f>
        <v>2174</v>
      </c>
      <c r="O87" s="234">
        <f t="shared" si="8"/>
        <v>3261</v>
      </c>
      <c r="P87" s="235">
        <f t="shared" si="1"/>
        <v>0.69640000000000002</v>
      </c>
      <c r="Q87" s="237">
        <f>(E58/(((E26+E33+E40)/A87)*((E58/(E70+0.0001)))+0.83*((E15/E58)^0.333)-((E27+E33+E40)/A87)))</f>
        <v>4.8748060914636134E-2</v>
      </c>
      <c r="R87" s="238">
        <f>(((E15*(A87^3))/(12*(10^-3)*P87)))^0.25</f>
        <v>1086.8841541330348</v>
      </c>
      <c r="S87" s="238">
        <f>((E15*10^3*(A87*10^-3)^3*0.08333)/(T87+(E15*10^3*(A87*10^-3)^3*0.08333)))</f>
        <v>0.5676688375430855</v>
      </c>
      <c r="T87" s="238">
        <f>(D87*E52^2*300)/(48*V87)</f>
        <v>740.109375</v>
      </c>
      <c r="U87" s="238">
        <f>(S87*E50*E52^2*6)/(8*(A87*10^-3)^2)</f>
        <v>3127.971145645573</v>
      </c>
      <c r="V87" s="238">
        <f>((1+(0.625*(E50+A87*10^-3*E54)*E52)/D87)^-1)</f>
        <v>0.21052631578947367</v>
      </c>
      <c r="W87" s="238">
        <f>(5*E50*S87*E52^4)/(384*E15*10^3*(A87*10^-3)^3*0.08333)*10^3</f>
        <v>2.4643615568511179</v>
      </c>
      <c r="X87" s="238">
        <f>(H87*E52^3)/(48*E15*10^3*(A87*10^-3)^3*0.08333)*10^3</f>
        <v>-0.25468348522999396</v>
      </c>
      <c r="Y87" s="238">
        <f t="shared" si="9"/>
        <v>-0.24144404332129965</v>
      </c>
      <c r="Z87" s="239">
        <f>(1-((4*(100^3-0.1795*E56^1.5))/(2*9*R87*(100^2-0.318*E56))))^2</f>
        <v>0.95704495183630522</v>
      </c>
      <c r="AA87" s="240">
        <f>(V106+W106*Z87)^1</f>
        <v>0.96046319796596002</v>
      </c>
    </row>
    <row r="88" spans="1:27" ht="13.8" x14ac:dyDescent="0.25">
      <c r="A88" s="170">
        <v>75</v>
      </c>
      <c r="B88" s="230">
        <f>ROUND(((0.6631*E43*A88^2*((E15/Q88)^0.5)*10^-3)*AA88),2)</f>
        <v>7.24</v>
      </c>
      <c r="C88" s="221">
        <f t="shared" si="0"/>
        <v>3.57</v>
      </c>
      <c r="D88" s="231">
        <f>ROUND((0.001/(((LN(E15*(A88^4)/(Q88*(E56/3.14159)^2))/2.302585)-0.436)*(0.6325/A88^2)))*E17,2)</f>
        <v>3.14</v>
      </c>
      <c r="E88" s="221">
        <f t="shared" si="2"/>
        <v>1.55</v>
      </c>
      <c r="F88" s="231">
        <f>ROUND(((0.66663*(0.75*(E15/30000))*(A88*6.28318*((E56/3.14159)^0.5+(0.5*A88))*0.5))*(1+((E56/3.14159)/O88^2)))*10^-3,2)</f>
        <v>8.77</v>
      </c>
      <c r="G88" s="232">
        <f t="shared" si="3"/>
        <v>4.32</v>
      </c>
      <c r="H88" s="231">
        <f>ROUND(((E17*10^3-U88)*4*(A88*10^-3)^2*D88)/(D88*S88*6*E52+4*(A88*10^-3)^2*E17*10^3),2)</f>
        <v>-0.32</v>
      </c>
      <c r="I88" s="221">
        <f t="shared" si="4"/>
        <v>1.84</v>
      </c>
      <c r="J88" s="241" t="str">
        <f t="shared" si="5"/>
        <v/>
      </c>
      <c r="K88" s="320">
        <f t="shared" si="10"/>
        <v>1.55</v>
      </c>
      <c r="L88" s="320">
        <f t="shared" si="6"/>
        <v>1.1000000000000001</v>
      </c>
      <c r="M88" s="321">
        <f t="shared" si="7"/>
        <v>1.5</v>
      </c>
      <c r="N88" s="236">
        <f>ROUND((1.0745*(E15/Q88)^0.25*A88),0)</f>
        <v>2289</v>
      </c>
      <c r="O88" s="234">
        <f t="shared" si="8"/>
        <v>3434</v>
      </c>
      <c r="P88" s="235">
        <f t="shared" si="1"/>
        <v>0.69640000000000002</v>
      </c>
      <c r="Q88" s="237">
        <f>(E58/(((E26+E33+E40)/A88)*((E58/(E70+0.0001)))+0.83*((E15/E58)^0.333)-((E26+E33+E40)/A88)))</f>
        <v>5.2230075123675494E-2</v>
      </c>
      <c r="R88" s="238">
        <f>(((E15*(A88^3))/(12*(10^-3)*P88)))^0.25</f>
        <v>1144.6050947946133</v>
      </c>
      <c r="S88" s="238">
        <f>((E15*10^3*(A88*10^-3)^3*0.08333)/(T88+(E15*10^3*(A88*10^-3)^3*0.08333)))</f>
        <v>0.6074153372076071</v>
      </c>
      <c r="T88" s="238">
        <f>(D88*E52^2*300)/(48*V88)</f>
        <v>772.52343749999989</v>
      </c>
      <c r="U88" s="238">
        <f>(S88*E50*E52^2*6)/(8*(A88*10^-3)^2)</f>
        <v>2915.5936185965143</v>
      </c>
      <c r="V88" s="238">
        <f>((1+(0.625*(E50+A88*10^-3*E54)*E52)/D88)^-1)</f>
        <v>0.22863383999271869</v>
      </c>
      <c r="W88" s="238">
        <f>(5*E50*S88*E52^4)/(384*E15*10^3*(A88*10^-3)^3*0.08333)*10^3</f>
        <v>2.1439045933870546</v>
      </c>
      <c r="X88" s="238">
        <f>(H88*E52^3)/(48*E15*10^3*(A88*10^-3)^3*0.08333)*10^3</f>
        <v>-0.15059425906448023</v>
      </c>
      <c r="Y88" s="238">
        <f t="shared" si="9"/>
        <v>-0.15796178343949044</v>
      </c>
      <c r="Z88" s="239">
        <f>(1-((4*(100^3-0.1795*E56^1.5))/(2*9*R88*(100^2-0.318*E56))))^2</f>
        <v>0.95918854240897589</v>
      </c>
      <c r="AA88" s="240">
        <f>(V106+W106*Z88)^1</f>
        <v>0.96243620741972069</v>
      </c>
    </row>
    <row r="89" spans="1:27" ht="13.8" x14ac:dyDescent="0.25">
      <c r="A89" s="170">
        <v>80</v>
      </c>
      <c r="B89" s="230">
        <f>ROUND(((0.6631*E43*A89^2*((E15/Q89)^0.5)*10^-3)*AA89),2)</f>
        <v>7.99</v>
      </c>
      <c r="C89" s="221">
        <f t="shared" si="0"/>
        <v>3.57</v>
      </c>
      <c r="D89" s="231">
        <f>ROUND((0.001/(((LN(E15*(A89^4)/(Q89*(E56/3.14159)^2))/2.302585)-0.436)*(0.6325/A89^2)))*E17,2)</f>
        <v>3.53</v>
      </c>
      <c r="E89" s="221">
        <f t="shared" si="2"/>
        <v>1.58</v>
      </c>
      <c r="F89" s="231">
        <f>ROUND(((0.66663*(0.75*(E15/30000))*(A89*6.28318*((E56/3.14159)^0.5+(0.5*A89))*0.5))*(1+((E56/3.14159)/O89^2)))*10^-3,2)</f>
        <v>9.7100000000000009</v>
      </c>
      <c r="G89" s="232">
        <f t="shared" si="3"/>
        <v>4.34</v>
      </c>
      <c r="H89" s="231">
        <f>ROUND(((E17*10^3-U89)*4*(A89*10^-3)^2*D89)/(D89*S89*6*E52+4*(A89*10^-3)^2*E17*10^3),2)</f>
        <v>-0.18</v>
      </c>
      <c r="I89" s="221">
        <f t="shared" si="4"/>
        <v>1.72</v>
      </c>
      <c r="J89" s="241" t="str">
        <f t="shared" si="5"/>
        <v/>
      </c>
      <c r="K89" s="320">
        <f t="shared" si="10"/>
        <v>1.64</v>
      </c>
      <c r="L89" s="320">
        <f t="shared" si="6"/>
        <v>1.1200000000000001</v>
      </c>
      <c r="M89" s="321">
        <f t="shared" si="7"/>
        <v>1.36</v>
      </c>
      <c r="N89" s="236">
        <f>ROUND((1.0745*(E15/Q89)^0.25*A89),0)</f>
        <v>2403</v>
      </c>
      <c r="O89" s="234">
        <f t="shared" si="8"/>
        <v>3605</v>
      </c>
      <c r="P89" s="235">
        <f t="shared" si="1"/>
        <v>0.69640000000000002</v>
      </c>
      <c r="Q89" s="237">
        <f>(E58/(((E26+E33+E40)/A89)*((E58/(E70+0.0001)))+0.83*((E15/E58)^0.333)-((E26+E33+E40)/A89)))</f>
        <v>5.5712079007731542E-2</v>
      </c>
      <c r="R89" s="238">
        <f>(((E15*(A89^3))/(12*(10^-3)*P89)))^0.25</f>
        <v>1201.3712022579134</v>
      </c>
      <c r="S89" s="238">
        <f>((E15*10^3*(A89*10^-3)^3*0.08333)/(T89+(E15*10^3*(A89*10^-3)^3*0.08333)))</f>
        <v>0.64280905369313146</v>
      </c>
      <c r="T89" s="238">
        <f>(D89*E52^2*300)/(48*V89)</f>
        <v>806.0625</v>
      </c>
      <c r="U89" s="238">
        <f>(S89*E50*E52^2*6)/(8*(A89*10^-3)^2)</f>
        <v>2711.8506952678981</v>
      </c>
      <c r="V89" s="238">
        <f>((1+(0.625*(E50+A89*10^-3*E54)*E52)/D89)^-1)</f>
        <v>0.24633635729239359</v>
      </c>
      <c r="W89" s="238">
        <f>(5*E50*S89*E52^4)/(384*E15*10^3*(A89*10^-3)^3*0.08333)*10^3</f>
        <v>1.8694571509431368</v>
      </c>
      <c r="X89" s="238">
        <f>(H89*E52^3)/(48*E15*10^3*(A89*10^-3)^3*0.08333)*10^3</f>
        <v>-6.9798288255059598E-2</v>
      </c>
      <c r="Y89" s="238">
        <f t="shared" si="9"/>
        <v>-8.0566572237960335E-2</v>
      </c>
      <c r="Z89" s="239">
        <f>(1-((4*(100^3-0.1795*E56^1.5))/(2*9*R89*(100^2-0.318*E56))))^2</f>
        <v>0.96109779060697875</v>
      </c>
      <c r="AA89" s="240">
        <f>(V106+W106*Z89)^1</f>
        <v>0.96419352282885784</v>
      </c>
    </row>
    <row r="90" spans="1:27" ht="13.8" x14ac:dyDescent="0.25">
      <c r="A90" s="242">
        <v>85</v>
      </c>
      <c r="B90" s="230">
        <f>ROUND(((0.6631*E43*A90^2*((E15/Q90)^0.5)*10^-3)*AA90),2)</f>
        <v>8.77</v>
      </c>
      <c r="C90" s="221">
        <f t="shared" si="0"/>
        <v>3.58</v>
      </c>
      <c r="D90" s="243">
        <f>ROUND((0.001/(((LN(E15*(A90^4)/(Q90*(E56/3.14159)^2))/2.302585)-0.436)*(0.6325/A90^2)))*E17,2)</f>
        <v>3.94</v>
      </c>
      <c r="E90" s="221">
        <f t="shared" si="2"/>
        <v>1.61</v>
      </c>
      <c r="F90" s="231">
        <f>ROUND(((0.66663*(0.75*(E15/30000))*(A90*6.28318*((E56/3.14159)^0.5+(0.5*A90))*0.5))*(1+((E56/3.14159)/O90^2)))*10^-3,2)</f>
        <v>10.7</v>
      </c>
      <c r="G90" s="232">
        <f t="shared" si="3"/>
        <v>4.37</v>
      </c>
      <c r="H90" s="231">
        <f>ROUND(((E17*10^3-U90)*4*(A90*10^-3)^2*D90)/(D90*S90*6*E52+4*(A90*10^-3)^2*E17*10^3),2)</f>
        <v>-0.02</v>
      </c>
      <c r="I90" s="221">
        <f t="shared" si="4"/>
        <v>1.62</v>
      </c>
      <c r="J90" s="241" t="str">
        <f t="shared" si="5"/>
        <v/>
      </c>
      <c r="K90" s="320">
        <f t="shared" si="10"/>
        <v>1.72</v>
      </c>
      <c r="L90" s="320">
        <f t="shared" si="6"/>
        <v>1.1399999999999999</v>
      </c>
      <c r="M90" s="321">
        <f t="shared" si="7"/>
        <v>1.26</v>
      </c>
      <c r="N90" s="236">
        <f>ROUND((1.0745*(E15/Q90)^0.25*A90),0)</f>
        <v>2514</v>
      </c>
      <c r="O90" s="234">
        <f t="shared" si="8"/>
        <v>3771</v>
      </c>
      <c r="P90" s="235">
        <f t="shared" si="1"/>
        <v>0.69640000000000002</v>
      </c>
      <c r="Q90" s="237">
        <f>(E58/(((E26+E33+E40)/A90)*((E58/(E70+0.0001)))+0.83*((E15/E58)^0.333)-((E26+E33+E40)/A90)))</f>
        <v>5.9194082751264004E-2</v>
      </c>
      <c r="R90" s="238">
        <f>(((E15*(A90^3))/(12*(10^-3)*P90)))^0.25</f>
        <v>1257.2565921383514</v>
      </c>
      <c r="S90" s="238">
        <f>((E15*10^3*(A90*10^-3)^3*0.08333)/(T90+(E15*10^3*(A90*10^-3)^3*0.08333)))</f>
        <v>0.67422257667001784</v>
      </c>
      <c r="T90" s="238">
        <f>(D90*E52^2*300)/(48*V90)</f>
        <v>840.72656250000011</v>
      </c>
      <c r="U90" s="238">
        <f>(S90*E50*E52^2*6)/(8*(A90*10^-3)^2)</f>
        <v>2519.5860996665019</v>
      </c>
      <c r="V90" s="238">
        <f>((1+(0.625*(E50+A90*10^-3*E54)*E52)/D90)^-1)</f>
        <v>0.2636112737308689</v>
      </c>
      <c r="W90" s="238">
        <f>(5*E50*S90*E52^4)/(384*E15*10^3*(A90*10^-3)^3*0.08333)*10^3</f>
        <v>1.6347449527305282</v>
      </c>
      <c r="X90" s="238">
        <f>(H90*E52^3)/(48*E15*10^3*(A90*10^-3)^3*0.08333)*10^3</f>
        <v>-6.4656984574422531E-3</v>
      </c>
      <c r="Y90" s="238">
        <f t="shared" si="9"/>
        <v>-8.1725888324873115E-3</v>
      </c>
      <c r="Z90" s="239">
        <f>(1-((4*(100^3-0.1795*E56^1.5))/(2*9*R90*(100^2-0.318*E56))))^2</f>
        <v>0.96281061375555643</v>
      </c>
      <c r="AA90" s="240">
        <f>(V106+W106*Z90)^1</f>
        <v>0.96577004416079926</v>
      </c>
    </row>
    <row r="91" spans="1:27" ht="13.8" x14ac:dyDescent="0.25">
      <c r="A91" s="244">
        <v>90</v>
      </c>
      <c r="B91" s="230">
        <f>ROUND(((0.6631*E43*A91^2*((E15/Q91)^0.5)*10^-3)*AA91),2)</f>
        <v>9.57</v>
      </c>
      <c r="C91" s="221">
        <f t="shared" si="0"/>
        <v>3.58</v>
      </c>
      <c r="D91" s="245">
        <f>ROUND((0.001/(((LN(E15*(A91^4)/(Q91*(E56/3.14159)^2))/2.302585)-0.436)*(0.6325/A91^2)))*E17,2)</f>
        <v>4.38</v>
      </c>
      <c r="E91" s="221">
        <f t="shared" si="2"/>
        <v>1.64</v>
      </c>
      <c r="F91" s="231">
        <f>ROUND(((0.66663*(0.75*(E15/30000))*(A91*6.28318*((E56/3.14159)^0.5+(0.5*A91))*0.5))*(1+((E56/3.14159)/O91^2)))*10^-3,2)</f>
        <v>11.73</v>
      </c>
      <c r="G91" s="232">
        <f t="shared" si="3"/>
        <v>4.3899999999999997</v>
      </c>
      <c r="H91" s="231">
        <f>ROUND(((E17*10^3-U91)*4*(A91*10^-3)^2*D91)/(D91*S91*6*E52+4*(A91*10^-3)^2*E17*10^3),2)</f>
        <v>0.17</v>
      </c>
      <c r="I91" s="221">
        <f t="shared" si="4"/>
        <v>1.54</v>
      </c>
      <c r="J91" s="241" t="str">
        <f t="shared" si="5"/>
        <v/>
      </c>
      <c r="K91" s="238">
        <f t="shared" si="10"/>
        <v>1.8</v>
      </c>
      <c r="L91" s="234">
        <f t="shared" si="6"/>
        <v>1.18</v>
      </c>
      <c r="M91" s="235">
        <f t="shared" si="7"/>
        <v>1.19</v>
      </c>
      <c r="N91" s="236">
        <f>ROUND((1.0745*(E15/Q91)^0.25*A91),0)</f>
        <v>2624</v>
      </c>
      <c r="O91" s="234">
        <f t="shared" si="8"/>
        <v>3936</v>
      </c>
      <c r="P91" s="235">
        <f t="shared" si="1"/>
        <v>0.69640000000000002</v>
      </c>
      <c r="Q91" s="237">
        <f>(E58/(((E26+E33+E40)/A91)*((E58/(E70+0.0001)))+0.83*((E15/E58)^0.333)-((E26+E33+E40)/A91)))</f>
        <v>6.2676086354272909E-2</v>
      </c>
      <c r="R91" s="238">
        <f>(((E15*(A91^3))/(12*(10^-3)*P91)))^0.25</f>
        <v>1312.3256252902916</v>
      </c>
      <c r="S91" s="238">
        <f>((E15*10^3*(A91*10^-3)^3*0.08333)/(T91+(E15*10^3*(A91*10^-3)^3*0.08333)))</f>
        <v>0.70192711475357039</v>
      </c>
      <c r="T91" s="238">
        <f>(D91*E52^2*300)/(48*V91)</f>
        <v>877.07812500000011</v>
      </c>
      <c r="U91" s="238">
        <f>(S91*E50*E52^2*6)/(8*(A91*10^-3)^2)</f>
        <v>2339.7570491785682</v>
      </c>
      <c r="V91" s="238">
        <f>((1+(0.625*(E50+A91*10^-3*E54)*E52)/D91)^-1)</f>
        <v>0.28090428090428088</v>
      </c>
      <c r="W91" s="238">
        <f>(5*E50*S91*E52^4)/(384*E15*10^3*(A91*10^-3)^3*0.08333)*10^3</f>
        <v>1.4337320117673384</v>
      </c>
      <c r="X91" s="238">
        <f>(H91*E52^3)/(48*E15*10^3*(A91*10^-3)^3*0.08333)*10^3</f>
        <v>4.6298148222225187E-2</v>
      </c>
      <c r="Y91" s="238">
        <f t="shared" si="9"/>
        <v>6.3652968036529686E-2</v>
      </c>
      <c r="Z91" s="239">
        <f>(1-((4*(100^3-0.1795*E56^1.5))/(2*9*R91*(100^2-0.318*E56))))^2</f>
        <v>0.96435702449723859</v>
      </c>
      <c r="AA91" s="240">
        <f>(V106+W106*Z91)^1</f>
        <v>0.96719339573345275</v>
      </c>
    </row>
    <row r="92" spans="1:27" ht="13.8" x14ac:dyDescent="0.25">
      <c r="A92" s="170">
        <v>95</v>
      </c>
      <c r="B92" s="230">
        <f>ROUND(((0.6631*E43*A92^2*((E15/Q92)^0.5)*10^-3)*AA92),2)</f>
        <v>10.39</v>
      </c>
      <c r="C92" s="221">
        <f t="shared" si="0"/>
        <v>3.58</v>
      </c>
      <c r="D92" s="231">
        <f>ROUND((0.001/(((LN(E15*(A92^4)/(Q92*(E56/3.14159)^2))/2.302585)-0.436)*(0.6325/A92^2)))*E17,2)</f>
        <v>4.83</v>
      </c>
      <c r="E92" s="221">
        <f t="shared" si="2"/>
        <v>1.66</v>
      </c>
      <c r="F92" s="231">
        <f>ROUND(((0.66663*(0.75*(E15/30000))*(A92*6.28318*((E56/3.14159)^0.5+(0.5*A92))*0.5))*(1+((E56/3.14159)/O92^2)))*10^-3,2)</f>
        <v>12.8</v>
      </c>
      <c r="G92" s="232">
        <f t="shared" si="3"/>
        <v>4.41</v>
      </c>
      <c r="H92" s="231">
        <f>ROUND(((E17*10^3-U92)*4*(A92*10^-3)^2*D92)/(D92*S92*6*E52+4*(A92*10^-3)^2*E17*10^3),2)</f>
        <v>0.37</v>
      </c>
      <c r="I92" s="221">
        <f t="shared" si="4"/>
        <v>1.47</v>
      </c>
      <c r="J92" s="241" t="str">
        <f t="shared" si="5"/>
        <v/>
      </c>
      <c r="K92" s="238" t="str">
        <f t="shared" si="10"/>
        <v/>
      </c>
      <c r="L92" s="234">
        <f t="shared" si="6"/>
        <v>1.22</v>
      </c>
      <c r="M92" s="235">
        <f t="shared" si="7"/>
        <v>1.1499999999999999</v>
      </c>
      <c r="N92" s="236">
        <f>ROUND((1.0745*(E15/Q92)^0.25*A92),0)</f>
        <v>2733</v>
      </c>
      <c r="O92" s="234">
        <f t="shared" si="8"/>
        <v>4100</v>
      </c>
      <c r="P92" s="235">
        <f t="shared" si="1"/>
        <v>0.69640000000000002</v>
      </c>
      <c r="Q92" s="237">
        <f>(E58/(((E26+E33+E40)/A92)*((E58/(E70+0.0001)))+0.83*((E15/E58)^0.333)-((E26+E33+E40)/A92)))</f>
        <v>6.6158089816758234E-2</v>
      </c>
      <c r="R92" s="238">
        <f>(((E15*(A92^3))/(12*(10^-3)*P92)))^0.25</f>
        <v>1366.6346605913247</v>
      </c>
      <c r="S92" s="238">
        <f>((E15*10^3*(A92*10^-3)^3*0.08333)/(T92+(E15*10^3*(A92*10^-3)^3*0.08333)))</f>
        <v>0.7266053736200051</v>
      </c>
      <c r="T92" s="238">
        <f>(D92*E52^2*300)/(48*V92)</f>
        <v>913.99218749999989</v>
      </c>
      <c r="U92" s="238">
        <f>(S92*E50*E52^2*6)/(8*(A92*10^-3)^2)</f>
        <v>2173.777849057079</v>
      </c>
      <c r="V92" s="238">
        <f>((1+(0.625*(E50+A92*10^-3*E54)*E52)/D92)^-1)</f>
        <v>0.29725363489499196</v>
      </c>
      <c r="W92" s="238">
        <f>(5*E50*S92*E52^4)/(384*E15*10^3*(A92*10^-3)^3*0.08333)*10^3</f>
        <v>1.2619184231709899</v>
      </c>
      <c r="X92" s="238">
        <f>(H92*E52^3)/(48*E15*10^3*(A92*10^-3)^3*0.08333)*10^3</f>
        <v>8.5678752827840113E-2</v>
      </c>
      <c r="Y92" s="238">
        <f t="shared" si="9"/>
        <v>0.12716356107660456</v>
      </c>
      <c r="Z92" s="239">
        <f>(1-((4*(100^3-0.1795*E56^1.5))/(2*9*R92*(100^2-0.318*E56))))^2</f>
        <v>0.96576110881722343</v>
      </c>
      <c r="AA92" s="240">
        <f>(V106+W106*Z92)^1</f>
        <v>0.96848574683469679</v>
      </c>
    </row>
    <row r="93" spans="1:27" ht="13.8" x14ac:dyDescent="0.25">
      <c r="A93" s="332">
        <v>100</v>
      </c>
      <c r="B93" s="230">
        <f>ROUND(((0.6631*E43*A93^2*((E15/Q93)^0.5)*10^-3)*AA93),2)</f>
        <v>11.23</v>
      </c>
      <c r="C93" s="221">
        <f t="shared" si="0"/>
        <v>3.57</v>
      </c>
      <c r="D93" s="324">
        <f>ROUND((0.001/(((LN(E15*(A93^4)/(Q93*(E56/3.14159)^2))/2.302585)-0.436)*(0.6325/A93^2)))*E17,2)</f>
        <v>5.3</v>
      </c>
      <c r="E93" s="221">
        <f t="shared" si="2"/>
        <v>1.68</v>
      </c>
      <c r="F93" s="231">
        <f>ROUND(((0.66663*(0.75*(E15/30000))*(A93*6.28318*((E56/3.14159)^0.5+(0.5*A93))*0.5))*(1+((E56/3.14159)/O93^2)))*10^-3,2)</f>
        <v>13.92</v>
      </c>
      <c r="G93" s="232">
        <f t="shared" si="3"/>
        <v>4.43</v>
      </c>
      <c r="H93" s="231">
        <f>ROUND(((E17*10^3-U93)*4*(A93*10^-3)^2*D93)/(D93*S93*6*E52+4*(A93*10^-3)^2*E17*10^3),2)</f>
        <v>0.59</v>
      </c>
      <c r="I93" s="221">
        <f t="shared" si="4"/>
        <v>1.42</v>
      </c>
      <c r="J93" s="241" t="str">
        <f t="shared" si="5"/>
        <v/>
      </c>
      <c r="K93" s="238" t="str">
        <f t="shared" si="10"/>
        <v/>
      </c>
      <c r="L93" s="323">
        <f t="shared" si="6"/>
        <v>1.26</v>
      </c>
      <c r="M93" s="235">
        <f t="shared" si="7"/>
        <v>1.1200000000000001</v>
      </c>
      <c r="N93" s="236">
        <f>ROUND((1.0745*(E15/Q93)^0.25*A93),0)</f>
        <v>2840</v>
      </c>
      <c r="O93" s="234">
        <f t="shared" si="8"/>
        <v>4260</v>
      </c>
      <c r="P93" s="235">
        <f t="shared" si="1"/>
        <v>0.69640000000000002</v>
      </c>
      <c r="Q93" s="237">
        <f>(E58/(((E26+E33+E40)/A93)*((E58/(E70+0.0001)))+0.83*((E15/E58)^0.333)-((E26+E33+E40)/A93)))</f>
        <v>6.9640093138720022E-2</v>
      </c>
      <c r="R93" s="238">
        <f>(((E15*(A93^3))/(12*(10^-3)*P93)))^0.25</f>
        <v>1420.2334172918488</v>
      </c>
      <c r="S93" s="238">
        <f>((E15*10^3*(A93*10^-3)^3*0.08333)/(T93+(E15*10^3*(A93*10^-3)^3*0.08333)))</f>
        <v>0.74848928456202224</v>
      </c>
      <c r="T93" s="238">
        <f>(D93*E52^2*300)/(48*V93)</f>
        <v>952.03124999999989</v>
      </c>
      <c r="U93" s="238">
        <f>(S93*E50*E52^2*6)/(8*(A93*10^-3)^2)</f>
        <v>2020.9210683174597</v>
      </c>
      <c r="V93" s="238">
        <f>((1+(0.625*(E50+A93*10^-3*E54)*E52)/D93)^-1)</f>
        <v>0.31314623338257014</v>
      </c>
      <c r="W93" s="238">
        <f>(5*E50*S93*E52^4)/(384*E15*10^3*(A93*10^-3)^3*0.08333)*10^3</f>
        <v>1.1145231112465783</v>
      </c>
      <c r="X93" s="238">
        <f>(H93*E52^3)/(48*E15*10^3*(A93*10^-3)^3*0.08333)*10^3</f>
        <v>0.11713703842271335</v>
      </c>
      <c r="Y93" s="238">
        <f t="shared" si="9"/>
        <v>0.18701886792452829</v>
      </c>
      <c r="Z93" s="239">
        <f>(1-((4*(100^3-0.1795*E56^1.5))/(2*9*R93*(100^2-0.318*E56))))^2</f>
        <v>0.96704243474667551</v>
      </c>
      <c r="AA93" s="240">
        <f>(V106+W106*Z93)^1</f>
        <v>0.96966510832489394</v>
      </c>
    </row>
    <row r="94" spans="1:27" ht="13.8" x14ac:dyDescent="0.25">
      <c r="A94" s="170">
        <v>105</v>
      </c>
      <c r="B94" s="230">
        <f>ROUND(((0.6631*E43*A94^2*((E15/Q94)^0.5)*10^-3)*AA94),2)</f>
        <v>12.1</v>
      </c>
      <c r="C94" s="221">
        <f t="shared" si="0"/>
        <v>3.58</v>
      </c>
      <c r="D94" s="231">
        <f>ROUND((0.001/(((LN(E15*(A94^4)/(Q94*(E56/3.14159)^2))/2.302585)-0.436)*(0.6325/A94^2)))*E17,2)</f>
        <v>5.8</v>
      </c>
      <c r="E94" s="221">
        <f t="shared" si="2"/>
        <v>1.72</v>
      </c>
      <c r="F94" s="231">
        <f>ROUND(((0.66663*(0.75*(E15/30000))*(A94*6.28318*((E56/3.14159)^0.5+(0.5*A94))*0.5))*(1+((E56/3.14159)/O94^2)))*10^-3,2)</f>
        <v>15.09</v>
      </c>
      <c r="G94" s="232">
        <f t="shared" si="3"/>
        <v>4.46</v>
      </c>
      <c r="H94" s="231">
        <f>ROUND(((E17*10^3-U94)*4*(A94*10^-3)^2*D94)/(D94*S94*6*E52+4*(A94*10^-3)^2*E17*10^3),2)</f>
        <v>0.83</v>
      </c>
      <c r="I94" s="221">
        <f t="shared" si="4"/>
        <v>1.38</v>
      </c>
      <c r="J94" s="241" t="str">
        <f t="shared" si="5"/>
        <v/>
      </c>
      <c r="K94" s="238" t="str">
        <f t="shared" si="10"/>
        <v/>
      </c>
      <c r="L94" s="234">
        <f t="shared" si="6"/>
        <v>1.31</v>
      </c>
      <c r="M94" s="326">
        <f t="shared" si="7"/>
        <v>1.1100000000000001</v>
      </c>
      <c r="N94" s="236">
        <f>ROUND((1.0745*(E15/Q94)^0.25*A94),0)</f>
        <v>2946</v>
      </c>
      <c r="O94" s="234">
        <f t="shared" si="8"/>
        <v>4419</v>
      </c>
      <c r="P94" s="235">
        <f t="shared" si="1"/>
        <v>0.69640000000000002</v>
      </c>
      <c r="Q94" s="237">
        <f>(E58/(((E26+E33+E40)/A94)*((E58/(E70+0.0001)))+0.83*((E15/E58)^0.333)-((E26+E33+E40)/A94)))</f>
        <v>7.3122096320158286E-2</v>
      </c>
      <c r="R94" s="238">
        <f>(((E15*(A94^3))/(12*(10^-3)*P94)))^0.25</f>
        <v>1473.1660490496031</v>
      </c>
      <c r="S94" s="238">
        <f>((E15*10^3*(A94*10^-3)^3*0.08333)/(T94+(E15*10^3*(A94*10^-3)^3*0.08333)))</f>
        <v>0.76782326431263215</v>
      </c>
      <c r="T94" s="238">
        <f>(D94*E52^2*300)/(48*V94)</f>
        <v>991.7578125</v>
      </c>
      <c r="U94" s="238">
        <f>(S94*E50*E52^2*6)/(8*(A94*10^-3)^2)</f>
        <v>1880.3835044390994</v>
      </c>
      <c r="V94" s="238">
        <f>((1+(0.625*(E50+A94*10^-3*E54)*E52)/D94)^-1)</f>
        <v>0.32896136121942571</v>
      </c>
      <c r="W94" s="238">
        <f>(5*E50*S94*E52^4)/(384*E15*10^3*(A94*10^-3)^3*0.08333)*10^3</f>
        <v>0.98763588381723244</v>
      </c>
      <c r="X94" s="238">
        <f>(H94*E52^3)/(48*E15*10^3*(A94*10^-3)^3*0.08333)*10^3</f>
        <v>0.14234834528006399</v>
      </c>
      <c r="Y94" s="238">
        <f t="shared" si="9"/>
        <v>0.24613793103448278</v>
      </c>
      <c r="Z94" s="239">
        <f>(1-((4*(100^3-0.1795*E56^1.5))/(2*9*R94*(100^2-0.318*E56))))^2</f>
        <v>0.96821707496996456</v>
      </c>
      <c r="AA94" s="240">
        <f>(V106+W106*Z94)^1</f>
        <v>0.97074627386782197</v>
      </c>
    </row>
    <row r="95" spans="1:27" ht="13.8" x14ac:dyDescent="0.25">
      <c r="A95" s="170">
        <v>110</v>
      </c>
      <c r="B95" s="230">
        <f>ROUND(((0.6631*E43*A95^2*((E15/Q95)^0.5)*10^-3)*AA95),2)</f>
        <v>12.99</v>
      </c>
      <c r="C95" s="221">
        <f t="shared" si="0"/>
        <v>3.58</v>
      </c>
      <c r="D95" s="231">
        <f>ROUND((0.001/(((LN(E15*(A95^4)/(Q95*(E56/3.14154)^2))/2.302585)-0.436)*(0.6325/A95^2)))*E17,2)</f>
        <v>6.31</v>
      </c>
      <c r="E95" s="221">
        <f t="shared" si="2"/>
        <v>1.74</v>
      </c>
      <c r="F95" s="231">
        <f>ROUND(((0.66663*(0.75*(E15/30000))*(A95*6.28318*((E56/3.14159)^0.5+(0.5*A95))*0.5))*(1+((E56/3.14159)/O95^2)))*10^-3,2)</f>
        <v>16.29</v>
      </c>
      <c r="G95" s="232">
        <f t="shared" si="3"/>
        <v>4.49</v>
      </c>
      <c r="H95" s="231">
        <f>ROUND(((E17*10^3-U95)*4*(A95*10^-3)^2*D95)/(D95*S95*6*E52+4*(A95*10^-3)^2*E17*10^3),2)</f>
        <v>1.0900000000000001</v>
      </c>
      <c r="I95" s="221">
        <f t="shared" si="4"/>
        <v>1.34</v>
      </c>
      <c r="J95" s="241" t="str">
        <f t="shared" si="5"/>
        <v/>
      </c>
      <c r="K95" s="238" t="str">
        <f t="shared" si="10"/>
        <v/>
      </c>
      <c r="L95" s="238">
        <f t="shared" si="6"/>
        <v>1.36</v>
      </c>
      <c r="M95" s="235">
        <f t="shared" si="7"/>
        <v>1.1000000000000001</v>
      </c>
      <c r="N95" s="236">
        <f>ROUND((1.0745*(E15/Q95)^0.25*A95),0)</f>
        <v>3051</v>
      </c>
      <c r="O95" s="234">
        <f t="shared" si="8"/>
        <v>4577</v>
      </c>
      <c r="P95" s="235">
        <f t="shared" si="1"/>
        <v>0.69640000000000002</v>
      </c>
      <c r="Q95" s="237">
        <f>(E58/(((E26+E33+E40)/A95)*((E58/(E70+0.0001)))+0.83*((E15/E58)^0.333)-((E26+E33+E40)/A95)))</f>
        <v>7.6604099361072986E-2</v>
      </c>
      <c r="R95" s="238">
        <f>(((E15*(A95^3))/(12*(10^-3)*P95)))^0.25</f>
        <v>1525.4720014705463</v>
      </c>
      <c r="S95" s="238">
        <f>((E15*10^3*(A95*10^-3)^3*0.08333)/(T95+(E15*10^3*(A95*10^-3)^3*0.08333)))</f>
        <v>0.78512733634013077</v>
      </c>
      <c r="T95" s="238">
        <f>(D95*E52^2*300)/(48*V95)</f>
        <v>1032.046875</v>
      </c>
      <c r="U95" s="238">
        <f>(S95*E50*E52^2*6)/(8*(A95*10^-3)^2)</f>
        <v>1751.9370315027713</v>
      </c>
      <c r="V95" s="238">
        <f>((1+(0.625*(E50+A95*10^-3*E54)*E52)/D95)^-1)</f>
        <v>0.34391606485897258</v>
      </c>
      <c r="W95" s="238">
        <f>(5*E50*S95*E52^4)/(384*E15*10^3*(A95*10^-3)^3*0.08333)*10^3</f>
        <v>0.87834581139066314</v>
      </c>
      <c r="X95" s="238">
        <f>(H95*E52^3)/(48*E15*10^3*(A95*10^-3)^3*0.08333)*10^3</f>
        <v>0.16258881671835576</v>
      </c>
      <c r="Y95" s="238">
        <f t="shared" si="9"/>
        <v>0.30057052297939785</v>
      </c>
      <c r="Z95" s="239">
        <f>(1-((4*(100^3-0.1795*E56^1.5))/(2*9*R95*(100^2-0.318*E56))))^2</f>
        <v>0.96929836192942342</v>
      </c>
      <c r="AA95" s="240">
        <f>(V106+W106*Z95)^1</f>
        <v>0.97174151494624417</v>
      </c>
    </row>
    <row r="96" spans="1:27" ht="13.8" x14ac:dyDescent="0.25">
      <c r="A96" s="170">
        <v>115</v>
      </c>
      <c r="B96" s="230">
        <f>ROUND(((0.6631*E43*A96^2*((E15/Q96)^0.5)*10^-3)*AA96),2)</f>
        <v>13.89</v>
      </c>
      <c r="C96" s="221">
        <f t="shared" si="0"/>
        <v>3.57</v>
      </c>
      <c r="D96" s="243">
        <f>ROUND((0.001/(((LN(E15*(A96^4)/(Q96*(E56/3.14159)^2))/2.302585)-0.436)*(0.6325/A96^2)))*E17,2)</f>
        <v>6.85</v>
      </c>
      <c r="E96" s="221">
        <f t="shared" si="2"/>
        <v>1.76</v>
      </c>
      <c r="F96" s="231">
        <f>ROUND(((0.66663*(0.75*(E15/30000))*(A96*6.28318*((E56/3.14159)^0.5+(0.5*A96))*0.5))*(1+((E56/3.14159)/O96^2)))*10^-3,2)</f>
        <v>17.55</v>
      </c>
      <c r="G96" s="232">
        <f t="shared" si="3"/>
        <v>4.51</v>
      </c>
      <c r="H96" s="231">
        <f>ROUND(((E17*10^3-U96)*4*(A96*10^-3)^2*D96)/(D96*S96*6*E52+4*(A96*10^-3)^2*E17*10^3),2)</f>
        <v>1.36</v>
      </c>
      <c r="I96" s="221">
        <f t="shared" si="4"/>
        <v>1.31</v>
      </c>
      <c r="J96" s="241" t="str">
        <f t="shared" si="5"/>
        <v/>
      </c>
      <c r="K96" s="238" t="str">
        <f t="shared" si="10"/>
        <v/>
      </c>
      <c r="L96" s="238">
        <f t="shared" si="6"/>
        <v>1.41</v>
      </c>
      <c r="M96" s="235">
        <f t="shared" si="7"/>
        <v>1.1100000000000001</v>
      </c>
      <c r="N96" s="236">
        <f>ROUND((1.0745*(E15/Q96)^0.25*A96),0)</f>
        <v>3154</v>
      </c>
      <c r="O96" s="234">
        <f t="shared" si="8"/>
        <v>4731</v>
      </c>
      <c r="P96" s="235">
        <f t="shared" si="1"/>
        <v>0.69640000000000002</v>
      </c>
      <c r="Q96" s="237">
        <f>(E58/(((E26+E33+E40)/A96)*((E58/(E70+0.0001)))+0.83*((E15/E58)^0.333)-((E26+E33+E40)/A96)))</f>
        <v>8.008610226146419E-2</v>
      </c>
      <c r="R96" s="238">
        <f>(((E15*(A96^3))/(12*(10^-3)*P96)))^0.25</f>
        <v>1577.1867046371465</v>
      </c>
      <c r="S96" s="238">
        <f>((E15*10^3*(A96*10^-3)^3*0.08333)/(T96+(E15*10^3*(A96*10^-3)^3*0.08333)))</f>
        <v>0.80047853334219965</v>
      </c>
      <c r="T96" s="238">
        <f>(D96*E52^2*300)/(48*V96)</f>
        <v>1074.0234375</v>
      </c>
      <c r="U96" s="238">
        <f>(S96*E50*E52^2*6)/(8*(A96*10^-3)^2)</f>
        <v>1634.247289243054</v>
      </c>
      <c r="V96" s="238">
        <f>((1+(0.625*(E50+A96*10^-3*E54)*E52)/D96)^-1)</f>
        <v>0.35875613747954177</v>
      </c>
      <c r="W96" s="238">
        <f>(5*E50*S96*E52^4)/(384*E15*10^3*(A96*10^-3)^3*0.08333)*10^3</f>
        <v>0.78371770863947765</v>
      </c>
      <c r="X96" s="238">
        <f>(H96*E52^3)/(48*E15*10^3*(A96*10^-3)^3*0.08333)*10^3</f>
        <v>0.17753648421600549</v>
      </c>
      <c r="Y96" s="238">
        <f t="shared" si="9"/>
        <v>0.34943065693430664</v>
      </c>
      <c r="Z96" s="239">
        <f>(1-((4*(100^3-0.1795*E56^1.5))/(2*9*R96*(100^2-0.318*E56))))^2</f>
        <v>0.97029745401189749</v>
      </c>
      <c r="AA96" s="240">
        <f>(V106+W106*Z96)^1</f>
        <v>0.9726611019928707</v>
      </c>
    </row>
    <row r="97" spans="1:27" ht="14.4" thickBot="1" x14ac:dyDescent="0.3">
      <c r="A97" s="170">
        <v>120</v>
      </c>
      <c r="B97" s="230">
        <f>ROUND(((0.6631*E43*A97^2*((E15/Q97)^0.5)*10^-3)*AA97),2)</f>
        <v>14.82</v>
      </c>
      <c r="C97" s="221">
        <f t="shared" si="0"/>
        <v>3.57</v>
      </c>
      <c r="D97" s="231">
        <f>ROUND((0.001/(((LN(E15*(A97^4)/(Q97*(E56/3.14159)^2))/2.302585)-0.436)*(0.6325/A97^2)))*E17,2)</f>
        <v>7.4</v>
      </c>
      <c r="E97" s="221">
        <f t="shared" si="2"/>
        <v>1.78</v>
      </c>
      <c r="F97" s="231">
        <f>ROUND(((0.66663*(0.75*(E15/30000))*(A97*6.28318*((E56/3.14159)^0.5+(0.5*A97))*0.5))*(1+((E56/3.14159)/O97^2)))*10^-3,2)</f>
        <v>18.84</v>
      </c>
      <c r="G97" s="232">
        <f t="shared" si="3"/>
        <v>4.54</v>
      </c>
      <c r="H97" s="231">
        <f>ROUND(((E17*10^3-U97)*4*(A97*10^-3)^2*D97)/(D97*S97*6*E52+4*(A97*10^-3)^2*E17*10^3),2)</f>
        <v>1.64</v>
      </c>
      <c r="I97" s="221">
        <f>ROUND((W97+X97+Y97),2)</f>
        <v>1.28</v>
      </c>
      <c r="J97" s="241" t="str">
        <f t="shared" si="5"/>
        <v/>
      </c>
      <c r="K97" s="238" t="str">
        <f t="shared" si="10"/>
        <v/>
      </c>
      <c r="L97" s="238">
        <f t="shared" si="6"/>
        <v>1.46</v>
      </c>
      <c r="M97" s="235">
        <f t="shared" si="7"/>
        <v>1.1200000000000001</v>
      </c>
      <c r="N97" s="236">
        <f>ROUND((1.0745*(E15/Q97)^0.25*A97),0)</f>
        <v>3256</v>
      </c>
      <c r="O97" s="234">
        <f t="shared" si="8"/>
        <v>4884</v>
      </c>
      <c r="P97" s="235">
        <f t="shared" si="1"/>
        <v>0.69640000000000002</v>
      </c>
      <c r="Q97" s="237">
        <f>(E58/(((E26+E33+E40)/A97)*((E58/(E70+0.0001)))+0.83*((E15/E58)^0.333)-((E26+E33+E40)/A97)))</f>
        <v>8.3568105021331843E-2</v>
      </c>
      <c r="R97" s="238">
        <f>(((E15*(A97^3))/(12*(10^-3)*P97)))^0.25</f>
        <v>1628.3421381591288</v>
      </c>
      <c r="S97" s="238">
        <f>((E15*10^3*(A97*10^-3)^3*0.08333)/(T97+(E15*10^3*(A97*10^-3)^3*0.08333)))</f>
        <v>0.81428902075642873</v>
      </c>
      <c r="T97" s="238">
        <f>(D97*E52^2*300)/(48*V97)</f>
        <v>1116.5625000000002</v>
      </c>
      <c r="U97" s="238">
        <f>(S97*E50*E52^2*6)/(8*(A97*10^-3)^2)</f>
        <v>1526.7919139183039</v>
      </c>
      <c r="V97" s="238">
        <f>((1+(0.625*(E50+A97*10^-3*E54)*E52)/D97)^-1)</f>
        <v>0.37279596977329976</v>
      </c>
      <c r="W97" s="238">
        <f>(5*E50*S97*E52^4)/(384*E15*10^3*(A97*10^-3)^3*0.08333)*10^3</f>
        <v>0.70167876288502995</v>
      </c>
      <c r="X97" s="238">
        <f>(H97*E52^3)/(48*E15*10^3*(A97*10^-3)^3*0.08333)*10^3</f>
        <v>0.18842665471324732</v>
      </c>
      <c r="Y97" s="238">
        <f t="shared" si="9"/>
        <v>0.39448648648648649</v>
      </c>
      <c r="Z97" s="239">
        <f>(1-((4*(100^3-0.1795*E56^1.5))/(2*9*R97*(100^2-0.318*E56))))^2</f>
        <v>0.97122376599745253</v>
      </c>
      <c r="AA97" s="240">
        <f>(V106+W106*Z97)^1</f>
        <v>0.97351370058512665</v>
      </c>
    </row>
    <row r="98" spans="1:27" ht="13.8" x14ac:dyDescent="0.25">
      <c r="A98" s="246">
        <v>130</v>
      </c>
      <c r="B98" s="247">
        <f>ROUND(((0.6631*E43*A98^2*((E15/Q98)^0.5)*10^-3)*AA98),2)</f>
        <v>16.739999999999998</v>
      </c>
      <c r="C98" s="248">
        <f t="shared" si="0"/>
        <v>3.58</v>
      </c>
      <c r="D98" s="249">
        <f>ROUND((0.001/(((LN(E15*(A98^4)/(Q98*(E56/3.14159)^2))/2.302585)-0.436)*(0.6325/A98^2)))*E17,2)</f>
        <v>8.57</v>
      </c>
      <c r="E98" s="248">
        <f t="shared" si="2"/>
        <v>1.83</v>
      </c>
      <c r="F98" s="249">
        <f>ROUND(((0.66663*(0.75*(E15/30000))*(A98*6.28318*((E56/3.14159)^0.5+(0.5*A98))*0.5))*(1+((E56/3.14159)/O98^2)))*10^-3,2)</f>
        <v>21.57</v>
      </c>
      <c r="G98" s="250">
        <f t="shared" si="3"/>
        <v>4.6100000000000003</v>
      </c>
      <c r="H98" s="249">
        <f>ROUND(((E17*10^3-U98)*4*(A98*10^-3)^2*D98)/(D98*S98*6*E52+4*(A98*10^-3)^2*E17*10^3),2)</f>
        <v>2.2599999999999998</v>
      </c>
      <c r="I98" s="250">
        <f t="shared" si="4"/>
        <v>1.25</v>
      </c>
      <c r="J98" s="251" t="str">
        <f t="shared" si="5"/>
        <v/>
      </c>
      <c r="K98" s="252" t="str">
        <f t="shared" si="10"/>
        <v/>
      </c>
      <c r="L98" s="252">
        <f t="shared" si="6"/>
        <v>1.57</v>
      </c>
      <c r="M98" s="253">
        <f t="shared" si="7"/>
        <v>1.17</v>
      </c>
      <c r="N98" s="254">
        <f>ROUND((1.0745*(E15/Q98)^0.25*A98),0)</f>
        <v>3458</v>
      </c>
      <c r="O98" s="255">
        <f t="shared" si="8"/>
        <v>5187</v>
      </c>
      <c r="P98" s="250">
        <f t="shared" si="1"/>
        <v>0.69640000000000002</v>
      </c>
      <c r="Q98" s="256">
        <f>(E58/(((E26+E33+E40)/A98)*((E58/(E70+0.0001)))+0.83*((E15/E58)^0.333)-((E26+E33+E40)/A98)))</f>
        <v>9.0532110119496662E-2</v>
      </c>
      <c r="R98" s="252">
        <f>(((E15*(A98^3))/(12*(10^-3)*P98)))^0.25</f>
        <v>1729.0885757029939</v>
      </c>
      <c r="S98" s="252">
        <f>((E15*10^3*(A98*10^-3)^3*0.08333)/(T98+(E15*10^3*(A98*10^-3)^3*0.08333)))</f>
        <v>0.83774538838431711</v>
      </c>
      <c r="T98" s="252">
        <f>(D98*E52^2*300)/(48*V98)</f>
        <v>1205.5781250000002</v>
      </c>
      <c r="U98" s="252">
        <f>(S98*E50*E52^2*6)/(8*(A98*10^-3)^2)</f>
        <v>1338.4097920932875</v>
      </c>
      <c r="V98" s="252">
        <f>(1+(0.625*(E50+A98*10^-3*E54)*E52)/D98)^-1</f>
        <v>0.39986002566196194</v>
      </c>
      <c r="W98" s="252">
        <f>(5*E50*S98*E52^4)/(384*E15*10^3*(A98*10^-3)^3*0.08333)*10^3</f>
        <v>0.56778704636305677</v>
      </c>
      <c r="X98" s="252">
        <f>(H98*E52^3)/(48*E15*10^3*(A98*10^-3)^3*0.08333)*10^3</f>
        <v>0.20423050449020017</v>
      </c>
      <c r="Y98" s="252">
        <f t="shared" si="9"/>
        <v>0.48259043173862304</v>
      </c>
      <c r="Z98" s="257">
        <f>(1-((4*(100^3-0.1795*E56^1.5))/(2*9*R98*(100^2-0.318*E56))))^2</f>
        <v>0.97288890577443254</v>
      </c>
      <c r="AA98" s="258">
        <f>(V106+W106*Z98)^1</f>
        <v>0.97504633305874366</v>
      </c>
    </row>
    <row r="99" spans="1:27" ht="13.8" x14ac:dyDescent="0.25">
      <c r="A99" s="170">
        <v>140</v>
      </c>
      <c r="B99" s="230">
        <f>ROUND(((0.6631*E43*A99^2*((E15/Q99)^0.5)*10^-3)*AA99),2)</f>
        <v>18.73</v>
      </c>
      <c r="C99" s="221">
        <f t="shared" si="0"/>
        <v>3.57</v>
      </c>
      <c r="D99" s="231">
        <f>ROUND((0.001/(((LN(E15*(A99^4)/(Q99*(E56/3.14159)^2))/2.302585)-0.436)*(0.6325/A99^2)))*E17,2)</f>
        <v>9.82</v>
      </c>
      <c r="E99" s="221">
        <f t="shared" si="2"/>
        <v>1.87</v>
      </c>
      <c r="F99" s="231">
        <f>ROUND(((0.66663*(0.75*(E15/30000))*(A99*6.28318*((E56/3.14159)^0.5+(0.5*A99))*0.5))*(1+((E56/3.14159)/O99^2)))*10^-3,2)</f>
        <v>24.48</v>
      </c>
      <c r="G99" s="232">
        <f t="shared" si="3"/>
        <v>4.67</v>
      </c>
      <c r="H99" s="231">
        <f>ROUND(((E17*10^3-U99)*4*(A99*10^-3)^2*D99)/(D99*S99*6*E52+4*(A99*10^-3)^2*E17*10^3),2)</f>
        <v>2.92</v>
      </c>
      <c r="I99" s="221">
        <f t="shared" si="4"/>
        <v>1.23</v>
      </c>
      <c r="J99" s="241" t="str">
        <f t="shared" si="5"/>
        <v/>
      </c>
      <c r="K99" s="238" t="str">
        <f t="shared" si="10"/>
        <v/>
      </c>
      <c r="L99" s="238">
        <f t="shared" si="6"/>
        <v>1.67</v>
      </c>
      <c r="M99" s="259">
        <f t="shared" si="7"/>
        <v>1.22</v>
      </c>
      <c r="N99" s="236">
        <f>ROUND((1.0745*(E15/Q99)^0.25*A99),0)</f>
        <v>3656</v>
      </c>
      <c r="O99" s="234">
        <f t="shared" si="8"/>
        <v>5484</v>
      </c>
      <c r="P99" s="235">
        <f t="shared" si="1"/>
        <v>0.69640000000000002</v>
      </c>
      <c r="Q99" s="237">
        <f>(E58/(((E26+E33+E40)/A99)*((E58/(E70+0.0001)))+0.83*((E15/E58)^0.333)-((E26+E33+E40)/A99)))</f>
        <v>9.7496114655567553E-2</v>
      </c>
      <c r="R99" s="238">
        <f>(((E15*(A99^3))/(12*(10^-3)*P99)))^0.25</f>
        <v>1827.9139780130706</v>
      </c>
      <c r="S99" s="238">
        <f>((E15*10^3*(A99*10^-3)^3*0.08333)/(T99+(E15*10^3*(A99*10^-3)^3*0.08333)))</f>
        <v>0.85682471037919261</v>
      </c>
      <c r="T99" s="238">
        <f>(D99*E52^2*300)/(48*V99)</f>
        <v>1299.0937499999995</v>
      </c>
      <c r="U99" s="238">
        <f>(S99*E50*E52^2*6)/(8*(A99*10^-3)^2)</f>
        <v>1180.3197540937856</v>
      </c>
      <c r="V99" s="238">
        <f>((1+(0.625*(E50+A99*10^-3*E54)*E52)/D99)^-1)</f>
        <v>0.42520025979649284</v>
      </c>
      <c r="W99" s="238">
        <f>(5*E50*S99*E52^4)/(384*E15*10^3*(A99*10^-3)^3*0.08333)*10^3</f>
        <v>0.46495547614464405</v>
      </c>
      <c r="X99" s="238">
        <f>(H99*E52^3)/(48*E15*10^3*(A99*10^-3)^3*0.08333)*10^3</f>
        <v>0.2112715275203359</v>
      </c>
      <c r="Y99" s="238">
        <f t="shared" si="9"/>
        <v>0.5560488798370673</v>
      </c>
      <c r="Z99" s="239">
        <f>(1-((4*(100^3-0.1795*E56^1.5))/(2*9*R99*(100^2-0.318*E56))))^2</f>
        <v>0.9743451287062771</v>
      </c>
      <c r="AA99" s="240">
        <f>(V106+W106*Z99)^1</f>
        <v>0.97638667372264798</v>
      </c>
    </row>
    <row r="100" spans="1:27" ht="13.8" x14ac:dyDescent="0.25">
      <c r="A100" s="329">
        <v>150</v>
      </c>
      <c r="B100" s="230">
        <f>ROUND(((0.6631*E43*A100^2*((E15/Q100)^0.5)*10^-3)*AA100),2)</f>
        <v>20.8</v>
      </c>
      <c r="C100" s="221">
        <f t="shared" si="0"/>
        <v>3.57</v>
      </c>
      <c r="D100" s="231">
        <f>ROUND((0.001/(((LN(E15*(A100^4)/(Q100*(E56/3.14159)^2))/2.302585)-0.436)*(0.6325/A100^2)))*E17,2)</f>
        <v>11.15</v>
      </c>
      <c r="E100" s="221">
        <f t="shared" si="2"/>
        <v>1.91</v>
      </c>
      <c r="F100" s="231">
        <f>ROUND(((0.66663*(0.75*(E15/30000))*(A100*6.28318*((E56/3.14159)^0.5+(0.5*A100))*0.5))*(1+((E56/3.14159)/O100^2)))*10^-3,2)</f>
        <v>27.56</v>
      </c>
      <c r="G100" s="232">
        <f t="shared" si="3"/>
        <v>4.7300000000000004</v>
      </c>
      <c r="H100" s="327">
        <f>ROUND(((E17*10^3-U100)*4*(A100*10^-3)^2*D100)/(D100*S100*6*E52+4*(A100*10^-3)^2*E17*10^3),2)</f>
        <v>3.64</v>
      </c>
      <c r="I100" s="221">
        <f t="shared" si="4"/>
        <v>1.22</v>
      </c>
      <c r="J100" s="241" t="str">
        <f t="shared" si="5"/>
        <v/>
      </c>
      <c r="K100" s="238" t="str">
        <f t="shared" si="10"/>
        <v/>
      </c>
      <c r="L100" s="330">
        <f t="shared" si="6"/>
        <v>1.76</v>
      </c>
      <c r="M100" s="259">
        <f t="shared" si="7"/>
        <v>1.28</v>
      </c>
      <c r="N100" s="236">
        <f>ROUND((1.0745*(E15/Q100)^0.25*A100),0)</f>
        <v>3850</v>
      </c>
      <c r="O100" s="234">
        <f t="shared" si="8"/>
        <v>5775</v>
      </c>
      <c r="P100" s="235">
        <f t="shared" si="1"/>
        <v>0.69640000000000002</v>
      </c>
      <c r="Q100" s="237">
        <f>(E58/(((E26+E33+E40)/A100)*((E58/(E70+0.0001)))+0.83*((E15/E58)^0.333)-((E26+E33+E40)/A100)))</f>
        <v>0.10446011862954452</v>
      </c>
      <c r="R100" s="238">
        <f>(((E15*(A100^3))/(12*(10^-3)*P100)))^0.25</f>
        <v>1924.9886421878562</v>
      </c>
      <c r="S100" s="238">
        <f>((E15*10^3*(A100*10^-3)^3*0.08333)/(T100+(E15*10^3*(A100*10^-3)^3*0.08333)))</f>
        <v>0.87251752418894968</v>
      </c>
      <c r="T100" s="238">
        <f>(D100*E52^2*300)/(48*V100)</f>
        <v>1397.109375</v>
      </c>
      <c r="U100" s="238">
        <f>(S100*E50*E52^2*6)/(8*(A100*10^-3)^2)</f>
        <v>1047.0210290267396</v>
      </c>
      <c r="V100" s="238">
        <f>((1+(0.625*(E50+A100*10^-3*E54)*E52)/D100)^-1)</f>
        <v>0.44891796678409668</v>
      </c>
      <c r="W100" s="238">
        <f>(5*E50*S100*E52^4)/(384*E15*10^3*(A100*10^-3)^3*0.08333)*10^3</f>
        <v>0.38494959983205929</v>
      </c>
      <c r="X100" s="238">
        <f>(H100*E52^3)/(48*E15*10^3*(A100*10^-3)^3*0.08333)*10^3</f>
        <v>0.21412621210730781</v>
      </c>
      <c r="Y100" s="238">
        <f t="shared" si="9"/>
        <v>0.62353363228699554</v>
      </c>
      <c r="Z100" s="239">
        <f>(1-((4*(100^3-0.1795*E56^1.5))/(2*9*R100*(100^2-0.318*E56))))^2</f>
        <v>0.97563088840049272</v>
      </c>
      <c r="AA100" s="240">
        <f>(V106+W106*Z100)^1</f>
        <v>0.97757011615064449</v>
      </c>
    </row>
    <row r="101" spans="1:27" ht="13.8" x14ac:dyDescent="0.25">
      <c r="A101" s="260">
        <v>160</v>
      </c>
      <c r="B101" s="230">
        <f>ROUND(((0.6631*E43*A101^2*((E15/Q101)^0.5)*10^-3)*AA101),2)</f>
        <v>22.94</v>
      </c>
      <c r="C101" s="221">
        <f t="shared" si="0"/>
        <v>3.58</v>
      </c>
      <c r="D101" s="231">
        <f>ROUND((0.001/(((LN(E15*(A101^4)/(Q101*(E56/3.14159)^2))/2.302585)-0.436)*(0.6325/A101^2)))*E17,2)</f>
        <v>12.55</v>
      </c>
      <c r="E101" s="221">
        <f t="shared" si="2"/>
        <v>1.96</v>
      </c>
      <c r="F101" s="231">
        <f>ROUND(((0.66663*(0.75*(E15/30000))*(A101*6.28318*((E56/3.14159)^0.5+(0.5*A101))*0.5))*(1+((E56/3.14159)/O101^2)))*10^-3,2)</f>
        <v>30.82</v>
      </c>
      <c r="G101" s="232">
        <f t="shared" si="3"/>
        <v>4.8099999999999996</v>
      </c>
      <c r="H101" s="261">
        <f>ROUND(((E17*10^3-U101)*4*(A101*10^-3)^2*D101)/(D101*S101*6*E52+4*(A101*10^-3)^2*E17*10^3),2)</f>
        <v>4.41</v>
      </c>
      <c r="I101" s="221">
        <f t="shared" si="4"/>
        <v>1.22</v>
      </c>
      <c r="J101" s="241" t="str">
        <f t="shared" si="5"/>
        <v/>
      </c>
      <c r="K101" s="238" t="str">
        <f t="shared" si="10"/>
        <v/>
      </c>
      <c r="L101" s="238" t="str">
        <f t="shared" si="6"/>
        <v/>
      </c>
      <c r="M101" s="259">
        <f t="shared" si="7"/>
        <v>1.35</v>
      </c>
      <c r="N101" s="236">
        <f>ROUND((1.0745*(E15/Q101)^0.25*A101),0)</f>
        <v>4041</v>
      </c>
      <c r="O101" s="234">
        <f t="shared" si="8"/>
        <v>6062</v>
      </c>
      <c r="P101" s="235">
        <f t="shared" si="1"/>
        <v>0.69640000000000002</v>
      </c>
      <c r="Q101" s="237">
        <f>(E58/(((E26+E33+E40)/A101)*((E58/(E70+0.0001)))+0.83*((E15/E58)^0.333)-((E26+E33+E40)/A101)))</f>
        <v>0.11142412204142768</v>
      </c>
      <c r="R101" s="238">
        <f>(((E15*(A101^3))/(12*(10^-3)*P101)))^0.25</f>
        <v>2020.4574747354486</v>
      </c>
      <c r="S101" s="238">
        <f>((E15*10^3*(A101*10^-3)^3*0.08333)/(T101+(E15*10^3*(A101*10^-3)^3*0.08333)))</f>
        <v>0.88560208161403697</v>
      </c>
      <c r="T101" s="238">
        <f>(D101*E52^2*300)/(48*V101)</f>
        <v>1499.0625</v>
      </c>
      <c r="U101" s="238">
        <f>(S101*E50*E52^2*6)/(8*(A101*10^-3)^2)</f>
        <v>934.03344545230448</v>
      </c>
      <c r="V101" s="238">
        <f>((1+(0.625*(E50+A101*10^-3*E54)*E52)/D101)^-1)</f>
        <v>0.47091932457786118</v>
      </c>
      <c r="W101" s="238">
        <f>(5*E50*S101*E52^4)/(384*E15*10^3*(A101*10^-3)^3*0.08333)*10^3</f>
        <v>0.32194536131134055</v>
      </c>
      <c r="X101" s="238">
        <f>(H101*E52^3)/(48*E15*10^3*(A101*10^-3)^3*0.08333)*10^3</f>
        <v>0.21375725778112006</v>
      </c>
      <c r="Y101" s="238">
        <f t="shared" si="9"/>
        <v>0.6887330677290836</v>
      </c>
      <c r="Z101" s="239">
        <f>(1-((4*(100^3-0.1795*E56^1.5))/(2*9*R101*(100^2-0.318*E56))))^2</f>
        <v>0.9767755893738157</v>
      </c>
      <c r="AA101" s="240">
        <f>(V106+W106*Z101)^1</f>
        <v>0.97862372492784744</v>
      </c>
    </row>
    <row r="102" spans="1:27" ht="13.8" x14ac:dyDescent="0.25">
      <c r="A102" s="242">
        <v>170</v>
      </c>
      <c r="B102" s="230">
        <f>ROUND(((0.6631*E43*A102^2*((E15/Q102)^0.5)*10^-3)*AA102),2)</f>
        <v>25.19</v>
      </c>
      <c r="C102" s="221">
        <f t="shared" si="0"/>
        <v>3.58</v>
      </c>
      <c r="D102" s="243">
        <f>ROUND((0.001/(((LN(E15*(A102^4)/(Q102*(E56/3.14159)^2))/2.302585)-0.436)*(0.6325/A102^2)))*E17,2)</f>
        <v>14.03</v>
      </c>
      <c r="E102" s="221">
        <f t="shared" si="2"/>
        <v>1.99</v>
      </c>
      <c r="F102" s="231">
        <f>ROUND(((0.66663*(0.75*(E15/30000))*(A102*6.28318*((E56/3.14159)^0.5+(0.5*A102))*0.5))*(1+((E56/3.14159)/O102^2)))*10^-3,2)</f>
        <v>34.26</v>
      </c>
      <c r="G102" s="232">
        <f t="shared" si="3"/>
        <v>4.87</v>
      </c>
      <c r="H102" s="231">
        <f>ROUND(((E17*10^3-U102)*4*(A102*10^-3)^2*D102)/(D102*S102*6*E52+4*(A102*10^-3)^2*E17*10^3),2)</f>
        <v>5.23</v>
      </c>
      <c r="I102" s="221">
        <f t="shared" si="4"/>
        <v>1.22</v>
      </c>
      <c r="J102" s="241" t="str">
        <f t="shared" si="5"/>
        <v/>
      </c>
      <c r="K102" s="238" t="str">
        <f t="shared" si="10"/>
        <v/>
      </c>
      <c r="L102" s="238" t="str">
        <f t="shared" si="6"/>
        <v/>
      </c>
      <c r="M102" s="259">
        <f t="shared" si="7"/>
        <v>1.42</v>
      </c>
      <c r="N102" s="236">
        <f>ROUND((1.0745*(E15/Q102)^0.25*A102),0)</f>
        <v>4229</v>
      </c>
      <c r="O102" s="234">
        <f t="shared" si="8"/>
        <v>6344</v>
      </c>
      <c r="P102" s="235">
        <f t="shared" si="1"/>
        <v>0.69640000000000002</v>
      </c>
      <c r="Q102" s="237">
        <f>(E58/(((E26+E33+E40)/A102)*((E58/(E70+0.0001)))+0.83*((E15/E58)^0.333)-((E26+E33+E40)/A102)))</f>
        <v>0.11838812489121706</v>
      </c>
      <c r="R102" s="238">
        <f>(((E15*(A102^3))/(12*(10^-3)*P102)))^0.25</f>
        <v>2114.4451227664813</v>
      </c>
      <c r="S102" s="238">
        <f>((E15*10^3*(A102*10^-3)^3*0.08333)/(T102+(E15*10^3*(A102*10^-3)^3*0.08333)))</f>
        <v>0.8965859807992399</v>
      </c>
      <c r="T102" s="238">
        <f>(D102*E52^2*300)/(48*V102)</f>
        <v>1605.5156250000002</v>
      </c>
      <c r="U102" s="238">
        <f>(S102*E50*E52^2*6)/(8*(A102*10^-3)^2)</f>
        <v>837.64088171555272</v>
      </c>
      <c r="V102" s="238">
        <f>((1+(0.625*(E50+A102*10^-3*E54)*E52)/D102)^-1)</f>
        <v>0.4915476920381886</v>
      </c>
      <c r="W102" s="238">
        <f>(5*E50*S102*E52^4)/(384*E15*10^3*(A102*10^-3)^3*0.08333)*10^3</f>
        <v>0.27173693404771854</v>
      </c>
      <c r="X102" s="238">
        <f>(H102*E52^3)/(48*E15*10^3*(A102*10^-3)^3*0.08333)*10^3</f>
        <v>0.21134751832764365</v>
      </c>
      <c r="Y102" s="238">
        <f t="shared" si="9"/>
        <v>0.74181753385602289</v>
      </c>
      <c r="Z102" s="239">
        <f>(1-((4*(100^3-0.1795*E56^1.5))/(2*9*R102*(100^2-0.318*E5))))^2</f>
        <v>0.97955774051011035</v>
      </c>
      <c r="AA102" s="240">
        <f>(V106+W106*Z102)^1</f>
        <v>0.98118448002897729</v>
      </c>
    </row>
    <row r="103" spans="1:27" ht="13.8" x14ac:dyDescent="0.25">
      <c r="A103" s="242">
        <v>180</v>
      </c>
      <c r="B103" s="230">
        <f>ROUND(((0.6631*E43*A103^2*((E15/Q103)^0.5)*10^-3)*AA103),2)</f>
        <v>27.43</v>
      </c>
      <c r="C103" s="221">
        <f t="shared" si="0"/>
        <v>3.58</v>
      </c>
      <c r="D103" s="243">
        <f>ROUND((0.001/(((LN(E15*(A103^4)/(Q103*(E56/3.14159)^2))/2.302585)-0.436)*(0.6325/A103^2)))*E17,2)</f>
        <v>15.59</v>
      </c>
      <c r="E103" s="221">
        <f t="shared" si="2"/>
        <v>2.0299999999999998</v>
      </c>
      <c r="F103" s="231">
        <f>ROUND(((0.66663*(0.75*(E15/30000))*(A103*6.28318*((E56/3.14159)^0.5+(0.5*A103))*0.5))*(1+((E56/3.14159)/O103^2)))*10^-3,2)</f>
        <v>37.880000000000003</v>
      </c>
      <c r="G103" s="232">
        <f t="shared" si="3"/>
        <v>4.9400000000000004</v>
      </c>
      <c r="H103" s="231">
        <f>ROUND(((E17*10^3-U103)*4*(A103*10^-3)^2*D103)/(D103*S103*6*E52+4*(A103*10^-3)^2*E17*10^3),2)</f>
        <v>6.1</v>
      </c>
      <c r="I103" s="221">
        <f t="shared" si="4"/>
        <v>1.23</v>
      </c>
      <c r="J103" s="241" t="str">
        <f t="shared" si="5"/>
        <v/>
      </c>
      <c r="K103" s="238" t="str">
        <f t="shared" si="10"/>
        <v/>
      </c>
      <c r="L103" s="238" t="str">
        <f t="shared" si="6"/>
        <v/>
      </c>
      <c r="M103" s="259">
        <f t="shared" si="7"/>
        <v>1.49</v>
      </c>
      <c r="N103" s="236">
        <f>ROUND((1.0745*(E15/Q103)^0.25*A103),0)</f>
        <v>4414</v>
      </c>
      <c r="O103" s="234">
        <f t="shared" si="8"/>
        <v>6621</v>
      </c>
      <c r="P103" s="235">
        <f t="shared" si="1"/>
        <v>0.69640000000000002</v>
      </c>
      <c r="Q103" s="237">
        <f>(E58/(((E26+E33+E40)/A103)*((E58/(E70+0.0001)))+0.83*((E15/E58)^0.333)-((E26+E33+E40)/A103)))</f>
        <v>0.12535212717891275</v>
      </c>
      <c r="R103" s="238">
        <f>(((E15*(A103^3))/(12*(10^-3)*P103)))^0.25</f>
        <v>2207.0598279043902</v>
      </c>
      <c r="S103" s="238">
        <f>((E15*10^3*(A103*10^-3)^3*0.08333)/(T103+(E15*10^3*(A103*10^-3)^3*0.08333)))</f>
        <v>0.90589436194930428</v>
      </c>
      <c r="T103" s="238">
        <f>(D103*E52^2*300)/(48*V103)</f>
        <v>1716.46875</v>
      </c>
      <c r="U103" s="238">
        <f>(S103*E50*E52^2*6)/(8*(A103*10^-3)^2)</f>
        <v>754.91196829108696</v>
      </c>
      <c r="V103" s="238">
        <f>((1+(0.625*(E50+A103*10^-3*E54)*E52)/D103)^-1)</f>
        <v>0.51089628051777813</v>
      </c>
      <c r="W103" s="238">
        <f>(5*E50*S103*E52^4)/(384*E15*10^3*(A103*10^-3)^3*0.08333)*10^3</f>
        <v>0.23129355575297975</v>
      </c>
      <c r="X103" s="238">
        <f>(H103*E52^3)/(48*E15*10^3*(A103*10^-3)^3*0.08333)*10^3</f>
        <v>0.20766081187909824</v>
      </c>
      <c r="Y103" s="238">
        <f t="shared" si="9"/>
        <v>0.79429121231558686</v>
      </c>
      <c r="Z103" s="239">
        <f>(1-((4*(100^3-0.1795*E56^1.5))/(2*9*R103*(100^2-0.318*E56))))^2</f>
        <v>0.97872860555923191</v>
      </c>
      <c r="AA103" s="240">
        <f>(V106+W106*Z103)^1</f>
        <v>0.98042132538676952</v>
      </c>
    </row>
    <row r="104" spans="1:27" ht="13.8" x14ac:dyDescent="0.25">
      <c r="A104" s="170">
        <v>190</v>
      </c>
      <c r="B104" s="230">
        <f>ROUND(((0.6631*E43*A104^2*((E15/Q104)^0.5)*10^-3)*AA104),2)</f>
        <v>29.77</v>
      </c>
      <c r="C104" s="221">
        <f t="shared" si="0"/>
        <v>3.58</v>
      </c>
      <c r="D104" s="231">
        <f>ROUND((0.001/(((LN(E15*(A104^4)/(Q104*(E56/3.14159)^2))/2.302585)-0.436)*(0.6325/A104^2)))*E17,2)</f>
        <v>17.22</v>
      </c>
      <c r="E104" s="221">
        <f t="shared" si="2"/>
        <v>2.0699999999999998</v>
      </c>
      <c r="F104" s="231">
        <f>ROUND(((0.66663*(0.75*(E15/30000))*(A104*6.28318*((E56/3.14159)^0.5+(0.5*A104))*0.5))*(1+((E56/3.14159)/O104^2)))*10^-3,2)</f>
        <v>41.67</v>
      </c>
      <c r="G104" s="232">
        <f t="shared" si="3"/>
        <v>5.01</v>
      </c>
      <c r="H104" s="231">
        <f>ROUND(((E17*10^3-U104)*4*(A104*10^-3)^2*D104)/(D104*S104*6*E52+4*(A104*10^-3)^2*E17*10^3),2)</f>
        <v>7.01</v>
      </c>
      <c r="I104" s="221">
        <f t="shared" si="4"/>
        <v>1.24</v>
      </c>
      <c r="J104" s="241" t="str">
        <f t="shared" si="5"/>
        <v/>
      </c>
      <c r="K104" s="238" t="str">
        <f t="shared" si="10"/>
        <v/>
      </c>
      <c r="L104" s="238" t="str">
        <f t="shared" si="6"/>
        <v/>
      </c>
      <c r="M104" s="259">
        <f t="shared" si="7"/>
        <v>1.56</v>
      </c>
      <c r="N104" s="236">
        <f>ROUND((1.0745*(E15/Q104)^0.25*A104),0)</f>
        <v>4596</v>
      </c>
      <c r="O104" s="234">
        <f>ROUND((1.5*N104),0)</f>
        <v>6894</v>
      </c>
      <c r="P104" s="235">
        <f t="shared" si="1"/>
        <v>0.69640000000000002</v>
      </c>
      <c r="Q104" s="237">
        <f>(E58/(((E26+E33+E40)/A104)*((E58/(E70+0.0001)))+0.83*((E15/E58)^0.333)-((E26+E33+E40)/A104)))</f>
        <v>0.1323161289045148</v>
      </c>
      <c r="R104" s="238">
        <f>(((E15*(A104^3))/(12*(10^-3)*P104)))^0.25</f>
        <v>2298.3963741054431</v>
      </c>
      <c r="S104" s="238">
        <f>((E15*10^3*(A104*10^-3)^3*0.08333)/(T104+(E15*10^3*(A104*10^-3)^3*0.08333)))</f>
        <v>0.91387680571385266</v>
      </c>
      <c r="T104" s="238">
        <f>(D104*E52^2*300)/(48*V104)</f>
        <v>1831.359375</v>
      </c>
      <c r="U104" s="238">
        <f>(S104*E50*E52^2*6)/(8*(A104*10^-3)^2)</f>
        <v>683.50896826243832</v>
      </c>
      <c r="V104" s="238">
        <f>((1+(0.625*(E50+A104*10^-3*E54)*E52)/D104)^-1)</f>
        <v>0.52891038931121859</v>
      </c>
      <c r="W104" s="238">
        <f>(5*E50*S104*E52^4)/(384*E15*10^3*(A104*10^-3)^3*0.08333)*10^3</f>
        <v>0.19839482673611464</v>
      </c>
      <c r="X104" s="238">
        <f>(H104*E52^3)/(48*E15*10^3*(A104*10^-3)^3*0.08333)*10^3</f>
        <v>0.20290812747404022</v>
      </c>
      <c r="Y104" s="238">
        <f t="shared" si="9"/>
        <v>0.84266550522648087</v>
      </c>
      <c r="Z104" s="239">
        <f>(1-((4*(100^3-0.1795*E56^1.5))/(2*9*R104*(100^2-0.318*E56))))^2</f>
        <v>0.97956955168390836</v>
      </c>
      <c r="AA104" s="240">
        <f>(V106+W106*Z104)^1</f>
        <v>0.98119535130162638</v>
      </c>
    </row>
    <row r="105" spans="1:27" ht="14.4" thickBot="1" x14ac:dyDescent="0.3">
      <c r="A105" s="242">
        <v>200</v>
      </c>
      <c r="B105" s="230">
        <f>ROUND(((0.6631*E43*A105^2*((E15/Q105)^0.5)*10^-3)*AA105),2)</f>
        <v>32.17</v>
      </c>
      <c r="C105" s="221">
        <f t="shared" si="0"/>
        <v>3.58</v>
      </c>
      <c r="D105" s="231">
        <f>ROUND((0.001/(((LN(E15*(A105^4)/(Q105*(E56/3.14159)^2))/2.302585)-0.436)*(0.6325/A105^2)))*E17,2)</f>
        <v>18.93</v>
      </c>
      <c r="E105" s="221">
        <f>ROUND((D105/B105)*C105,2)</f>
        <v>2.11</v>
      </c>
      <c r="F105" s="231">
        <f>ROUND(((0.66663*(0.75*(E15/30000))*(A105*6.28318*((E56/3.14159)^0.5+(0.5*A105))*0.5))*(1+((E56/3.14159)/O105^2)))*10^-3,2)</f>
        <v>45.65</v>
      </c>
      <c r="G105" s="232">
        <f t="shared" si="3"/>
        <v>5.08</v>
      </c>
      <c r="H105" s="243">
        <f>ROUND(((E17*10^3-U105)*4*(A105*10^-3)^2*D105)/(D105*S105*6*E52+4*(A105*10^-3)^2*E17*10^3),2)</f>
        <v>7.97</v>
      </c>
      <c r="I105" s="221">
        <f>ROUND((W105+X105+Y105),2)</f>
        <v>1.26</v>
      </c>
      <c r="J105" s="241" t="str">
        <f t="shared" si="5"/>
        <v/>
      </c>
      <c r="K105" s="238" t="str">
        <f t="shared" si="10"/>
        <v/>
      </c>
      <c r="L105" s="238" t="str">
        <f t="shared" si="6"/>
        <v/>
      </c>
      <c r="M105" s="259">
        <f t="shared" si="7"/>
        <v>1.63</v>
      </c>
      <c r="N105" s="262">
        <f>ROUND((1.0745*(E15/Q105)^0.25*A105),0)</f>
        <v>4777</v>
      </c>
      <c r="O105" s="263">
        <f>ROUND((1.5*N105),0)</f>
        <v>7166</v>
      </c>
      <c r="P105" s="235">
        <f t="shared" si="1"/>
        <v>0.69640000000000002</v>
      </c>
      <c r="Q105" s="237">
        <f>(E58/(((E26+E33+E40)/A105)*((E58/(E70+0.0001)))+0.83*((E15/E58)^0.333)-((E26+E33+E40)/A105)))</f>
        <v>0.13928013006802334</v>
      </c>
      <c r="R105" s="264">
        <f>(((E15*(A105^3))/(12*(10^-3)*P105)))^0.25</f>
        <v>2388.5383788484964</v>
      </c>
      <c r="S105" s="264">
        <f>((E15*10^3*(A105*10^-3)^3*0.08333)/(T105+(E15*10^3*(A105*10^-3)^3*0.08333)))</f>
        <v>0.92075440425958033</v>
      </c>
      <c r="T105" s="264">
        <f>(D105*E52^2*300)/(48*V105)</f>
        <v>1950.75</v>
      </c>
      <c r="U105" s="238">
        <f>(S105*E50*E52^2*6)/(8*(A105*10^-3)^2)</f>
        <v>621.50922287521666</v>
      </c>
      <c r="V105" s="264">
        <f>((1+(0.625*(E50+A105*10^-3*E54)*E52)/D105)^-1)</f>
        <v>0.54584775086505188</v>
      </c>
      <c r="W105" s="264">
        <f>(5*E50*S105*E52^4)/(384*E15*10^3*(A105*10^-3)^3*0.08333)*10^3</f>
        <v>0.17137888352166897</v>
      </c>
      <c r="X105" s="264">
        <f>(H105*E52^3)/(48*E15*10^3*(A105*10^-3)^3*0.08333)*10^3</f>
        <v>0.19779283818411555</v>
      </c>
      <c r="Y105" s="264">
        <f>(H105/D105)*E105</f>
        <v>0.88836238774432119</v>
      </c>
      <c r="Z105" s="265">
        <f>(1-((4*(100^3-0.1795*E56^1.5))/(2*9*R105*(100^2-0.318*E56))))^2</f>
        <v>0.98033675581434476</v>
      </c>
      <c r="AA105" s="266">
        <f>(V106+W106*Z105)^1</f>
        <v>0.98190150340996918</v>
      </c>
    </row>
    <row r="106" spans="1:27" ht="14.4" thickTop="1" thickBot="1" x14ac:dyDescent="0.3">
      <c r="A106" s="267"/>
      <c r="B106" s="268"/>
      <c r="C106" s="268"/>
      <c r="D106" s="268"/>
      <c r="E106" s="268"/>
      <c r="F106" s="268"/>
      <c r="G106" s="269"/>
      <c r="H106" s="270" t="s">
        <v>137</v>
      </c>
      <c r="I106" s="270"/>
      <c r="J106" s="268"/>
      <c r="K106" s="268"/>
      <c r="L106" s="268"/>
      <c r="M106" s="268"/>
      <c r="N106" s="268"/>
      <c r="O106" s="151"/>
      <c r="P106" s="151"/>
      <c r="Q106" s="271"/>
      <c r="R106" s="271"/>
      <c r="U106" s="272">
        <f>(V106+W106*X106)^1</f>
        <v>0.93400486897079249</v>
      </c>
      <c r="V106" s="273">
        <f>(E56/31416)</f>
        <v>7.9577285459638394E-2</v>
      </c>
      <c r="W106" s="274">
        <f>((31416-E56)/31416)</f>
        <v>0.92042271454036162</v>
      </c>
      <c r="X106" s="275">
        <f>(1-((4*(100^3-0.1795*E56^1.5))/(2*9*Y106*(100^2-0.318*E56))))^2</f>
        <v>0.92829910650112113</v>
      </c>
      <c r="Y106" s="275">
        <f>((E15*A80^3)/(12*P80*10^-3))^0.25</f>
        <v>646.26518463935986</v>
      </c>
      <c r="AA106" s="124"/>
    </row>
    <row r="107" spans="1:27" ht="13.8" thickTop="1" x14ac:dyDescent="0.25">
      <c r="A107" s="276"/>
      <c r="B107" s="151"/>
      <c r="C107" s="151"/>
      <c r="D107" s="151"/>
      <c r="E107" s="277"/>
      <c r="H107" s="278" t="s">
        <v>135</v>
      </c>
      <c r="I107" s="278"/>
      <c r="Q107" s="124"/>
      <c r="R107" s="124"/>
      <c r="S107" s="279"/>
      <c r="T107" s="153" t="s">
        <v>166</v>
      </c>
      <c r="U107" s="280"/>
      <c r="V107" s="281" t="s">
        <v>167</v>
      </c>
      <c r="W107" s="280"/>
      <c r="X107" s="280"/>
      <c r="Y107" s="280"/>
      <c r="AA107" s="124"/>
    </row>
    <row r="108" spans="1:27" ht="13.8" x14ac:dyDescent="0.25">
      <c r="A108" s="282" t="s">
        <v>133</v>
      </c>
      <c r="B108" s="281"/>
      <c r="C108" s="281"/>
      <c r="D108" s="281"/>
      <c r="E108" s="283"/>
      <c r="F108" s="124"/>
      <c r="AA108" s="124"/>
    </row>
    <row r="109" spans="1:27" ht="13.8" x14ac:dyDescent="0.25">
      <c r="A109" s="284"/>
      <c r="B109" s="147"/>
      <c r="C109" s="124"/>
      <c r="D109" s="124"/>
      <c r="E109" s="285"/>
      <c r="F109" s="124"/>
      <c r="V109" s="239"/>
      <c r="W109" s="239"/>
      <c r="AA109" s="124"/>
    </row>
    <row r="110" spans="1:27" ht="13.8" x14ac:dyDescent="0.25">
      <c r="A110" s="286" t="s">
        <v>88</v>
      </c>
      <c r="B110" s="287"/>
      <c r="C110" s="146" t="s">
        <v>104</v>
      </c>
      <c r="D110" s="146" t="s">
        <v>89</v>
      </c>
      <c r="E110" s="285"/>
      <c r="G110" s="148" t="s">
        <v>134</v>
      </c>
      <c r="Q110" s="124"/>
      <c r="AA110" s="124"/>
    </row>
    <row r="111" spans="1:27" ht="13.8" x14ac:dyDescent="0.25">
      <c r="A111" s="288" t="s">
        <v>93</v>
      </c>
      <c r="B111" s="142"/>
      <c r="C111" s="142" t="s">
        <v>106</v>
      </c>
      <c r="D111" s="142" t="s">
        <v>90</v>
      </c>
      <c r="E111" s="285"/>
      <c r="G111" s="124"/>
      <c r="J111" s="147"/>
      <c r="K111" s="124"/>
      <c r="L111" s="124"/>
      <c r="M111" s="124"/>
      <c r="N111" s="124"/>
      <c r="O111" s="124"/>
      <c r="Q111" s="124"/>
      <c r="U111" s="124"/>
      <c r="AA111" s="124"/>
    </row>
    <row r="112" spans="1:27" ht="13.8" x14ac:dyDescent="0.25">
      <c r="A112" s="289"/>
      <c r="B112" s="142"/>
      <c r="C112" s="142"/>
      <c r="D112" s="142"/>
      <c r="E112" s="285"/>
      <c r="F112" s="142"/>
      <c r="G112" s="290"/>
      <c r="H112" s="123" t="s">
        <v>162</v>
      </c>
      <c r="J112" s="287"/>
      <c r="K112" s="287"/>
      <c r="L112" s="287"/>
      <c r="M112" s="287"/>
      <c r="N112" s="291"/>
      <c r="O112" s="292"/>
      <c r="Q112" s="124"/>
      <c r="AA112" s="124"/>
    </row>
    <row r="113" spans="1:27" x14ac:dyDescent="0.25">
      <c r="A113" s="293" t="s">
        <v>99</v>
      </c>
      <c r="B113" s="142"/>
      <c r="C113" s="142" t="s">
        <v>115</v>
      </c>
      <c r="D113" s="142" t="s">
        <v>111</v>
      </c>
      <c r="E113" s="285"/>
      <c r="F113" s="142"/>
    </row>
    <row r="114" spans="1:27" ht="13.8" x14ac:dyDescent="0.25">
      <c r="A114" s="293"/>
      <c r="B114" s="142"/>
      <c r="C114" s="142"/>
      <c r="D114" s="142"/>
      <c r="E114" s="285"/>
      <c r="F114" s="142"/>
      <c r="G114" s="294"/>
      <c r="H114" s="123" t="s">
        <v>145</v>
      </c>
      <c r="J114" s="124"/>
      <c r="K114" s="142"/>
      <c r="L114" s="124"/>
      <c r="M114" s="142"/>
      <c r="N114" s="142"/>
      <c r="O114" s="142"/>
      <c r="Q114" s="124"/>
    </row>
    <row r="115" spans="1:27" ht="13.8" x14ac:dyDescent="0.25">
      <c r="A115" s="293" t="s">
        <v>100</v>
      </c>
      <c r="B115" s="142"/>
      <c r="C115" s="142" t="s">
        <v>116</v>
      </c>
      <c r="D115" s="142" t="s">
        <v>112</v>
      </c>
      <c r="E115" s="285"/>
      <c r="F115" s="142"/>
      <c r="H115" s="105" t="s">
        <v>146</v>
      </c>
      <c r="AA115" s="124"/>
    </row>
    <row r="116" spans="1:27" x14ac:dyDescent="0.25">
      <c r="A116" s="293"/>
      <c r="B116" s="142"/>
      <c r="C116" s="142"/>
      <c r="D116" s="142"/>
      <c r="E116" s="285"/>
      <c r="F116" s="142"/>
      <c r="AA116" s="124"/>
    </row>
    <row r="117" spans="1:27" ht="13.8" x14ac:dyDescent="0.25">
      <c r="A117" s="293" t="s">
        <v>101</v>
      </c>
      <c r="B117" s="142"/>
      <c r="C117" s="142" t="s">
        <v>117</v>
      </c>
      <c r="D117" s="142" t="s">
        <v>113</v>
      </c>
      <c r="E117" s="285"/>
      <c r="F117" s="145"/>
      <c r="G117" s="325"/>
      <c r="H117" s="123" t="s">
        <v>175</v>
      </c>
      <c r="J117" s="142"/>
      <c r="K117" s="142"/>
      <c r="L117" s="142"/>
      <c r="M117" s="142"/>
      <c r="N117" s="142"/>
      <c r="O117" s="142"/>
      <c r="Q117" s="124"/>
      <c r="AA117" s="124"/>
    </row>
    <row r="118" spans="1:27" x14ac:dyDescent="0.25">
      <c r="A118" s="293"/>
      <c r="B118" s="142"/>
      <c r="C118" s="142"/>
      <c r="D118" s="142"/>
      <c r="E118" s="285"/>
      <c r="F118" s="142"/>
      <c r="AA118" s="124"/>
    </row>
    <row r="119" spans="1:27" ht="13.8" x14ac:dyDescent="0.25">
      <c r="A119" s="293" t="s">
        <v>102</v>
      </c>
      <c r="B119" s="142"/>
      <c r="C119" s="142" t="s">
        <v>116</v>
      </c>
      <c r="D119" s="142" t="s">
        <v>114</v>
      </c>
      <c r="E119" s="285"/>
      <c r="F119" s="142"/>
      <c r="G119" s="328"/>
      <c r="H119" s="135" t="s">
        <v>176</v>
      </c>
      <c r="J119" s="142"/>
      <c r="K119" s="142"/>
      <c r="L119" s="142"/>
      <c r="M119" s="142"/>
      <c r="N119" s="124"/>
      <c r="O119" s="124"/>
      <c r="Q119" s="124"/>
      <c r="AA119" s="124"/>
    </row>
    <row r="120" spans="1:27" ht="13.8" x14ac:dyDescent="0.25">
      <c r="A120" s="293"/>
      <c r="B120" s="145"/>
      <c r="C120" s="145"/>
      <c r="D120" s="145"/>
      <c r="E120" s="285"/>
      <c r="F120" s="145"/>
      <c r="G120" s="142"/>
      <c r="H120" s="123" t="s">
        <v>177</v>
      </c>
      <c r="Q120" s="124"/>
      <c r="AA120" s="124"/>
    </row>
    <row r="121" spans="1:27" x14ac:dyDescent="0.25">
      <c r="A121" s="293" t="s">
        <v>103</v>
      </c>
      <c r="B121" s="124"/>
      <c r="C121" s="142" t="s">
        <v>118</v>
      </c>
      <c r="D121" s="142" t="s">
        <v>107</v>
      </c>
      <c r="E121" s="285"/>
      <c r="F121" s="145"/>
      <c r="G121" s="145"/>
      <c r="H121" s="295"/>
      <c r="J121" s="142"/>
      <c r="K121" s="142"/>
      <c r="L121" s="142"/>
      <c r="M121" s="142"/>
      <c r="N121" s="142"/>
      <c r="O121" s="142"/>
      <c r="Q121" s="124"/>
      <c r="AA121" s="124"/>
    </row>
    <row r="122" spans="1:27" x14ac:dyDescent="0.25">
      <c r="A122" s="293"/>
      <c r="B122" s="124"/>
      <c r="C122" s="124"/>
      <c r="D122" s="124"/>
      <c r="E122" s="285"/>
      <c r="F122" s="145"/>
      <c r="G122" s="296" t="s">
        <v>123</v>
      </c>
      <c r="H122" s="295"/>
      <c r="J122" s="142"/>
      <c r="K122" s="142"/>
      <c r="L122" s="142"/>
      <c r="M122" s="142"/>
      <c r="N122" s="142"/>
      <c r="O122" s="142"/>
      <c r="Q122" s="124"/>
      <c r="AA122" s="124"/>
    </row>
    <row r="123" spans="1:27" x14ac:dyDescent="0.25">
      <c r="A123" s="293" t="s">
        <v>139</v>
      </c>
      <c r="B123" s="124"/>
      <c r="C123" s="297" t="s">
        <v>140</v>
      </c>
      <c r="D123" s="142" t="s">
        <v>141</v>
      </c>
      <c r="E123" s="285"/>
      <c r="F123" s="145"/>
      <c r="G123" s="145"/>
      <c r="H123" s="295"/>
      <c r="J123" s="142"/>
      <c r="K123" s="142"/>
      <c r="L123" s="142"/>
      <c r="M123" s="142"/>
      <c r="N123" s="142"/>
      <c r="O123" s="142"/>
      <c r="Q123" s="124"/>
      <c r="AA123" s="124"/>
    </row>
    <row r="124" spans="1:27" x14ac:dyDescent="0.25">
      <c r="A124" s="293"/>
      <c r="B124" s="124"/>
      <c r="C124" s="124"/>
      <c r="D124" s="142"/>
      <c r="E124" s="285"/>
      <c r="F124" s="145"/>
      <c r="G124" s="298" t="s">
        <v>169</v>
      </c>
      <c r="H124" s="295"/>
      <c r="J124" s="142"/>
      <c r="K124" s="142"/>
      <c r="L124" s="142"/>
      <c r="M124" s="142"/>
      <c r="N124" s="142"/>
      <c r="O124" s="142"/>
      <c r="Q124" s="124"/>
      <c r="AA124" s="124"/>
    </row>
    <row r="125" spans="1:27" x14ac:dyDescent="0.25">
      <c r="A125" s="293"/>
      <c r="B125" s="124"/>
      <c r="C125" s="124"/>
      <c r="D125" s="142"/>
      <c r="E125" s="285"/>
      <c r="F125" s="145"/>
      <c r="G125" s="331" t="s">
        <v>178</v>
      </c>
      <c r="H125" s="295"/>
      <c r="J125" s="142"/>
      <c r="K125" s="142"/>
      <c r="L125" s="142"/>
      <c r="M125" s="142"/>
      <c r="N125" s="142"/>
      <c r="O125" s="142"/>
      <c r="Q125" s="124"/>
      <c r="AA125" s="124"/>
    </row>
    <row r="126" spans="1:27" ht="13.8" x14ac:dyDescent="0.25">
      <c r="A126" s="286" t="s">
        <v>91</v>
      </c>
      <c r="B126" s="145"/>
      <c r="C126" s="287" t="s">
        <v>105</v>
      </c>
      <c r="D126" s="299" t="s">
        <v>92</v>
      </c>
      <c r="E126" s="285"/>
      <c r="F126" s="145"/>
      <c r="G126" s="145"/>
      <c r="H126" s="295"/>
      <c r="J126" s="142"/>
      <c r="K126" s="142"/>
      <c r="L126" s="142"/>
      <c r="M126" s="142"/>
      <c r="N126" s="142"/>
      <c r="O126" s="142"/>
      <c r="Q126" s="124"/>
      <c r="AA126" s="124"/>
    </row>
    <row r="127" spans="1:27" x14ac:dyDescent="0.25">
      <c r="A127" s="293" t="s">
        <v>93</v>
      </c>
      <c r="B127" s="145"/>
      <c r="C127" s="142" t="s">
        <v>109</v>
      </c>
      <c r="D127" s="142" t="s">
        <v>110</v>
      </c>
      <c r="E127" s="285"/>
      <c r="F127" s="145"/>
      <c r="G127" s="145"/>
      <c r="H127" s="295"/>
      <c r="J127" s="142"/>
      <c r="K127" s="142"/>
      <c r="L127" s="142"/>
      <c r="M127" s="142"/>
      <c r="N127" s="142"/>
      <c r="O127" s="142"/>
      <c r="Q127" s="124"/>
      <c r="AA127" s="124"/>
    </row>
    <row r="128" spans="1:27" x14ac:dyDescent="0.25">
      <c r="A128" s="293"/>
      <c r="B128" s="145"/>
      <c r="C128" s="145"/>
      <c r="D128" s="145"/>
      <c r="E128" s="285"/>
      <c r="F128" s="300"/>
      <c r="G128" s="145"/>
      <c r="H128" s="295"/>
      <c r="J128" s="142"/>
      <c r="K128" s="142"/>
      <c r="L128" s="142"/>
      <c r="M128" s="142"/>
      <c r="N128" s="142"/>
      <c r="O128" s="142"/>
      <c r="Q128" s="124"/>
      <c r="AA128" s="124"/>
    </row>
    <row r="129" spans="1:27" x14ac:dyDescent="0.25">
      <c r="A129" s="293" t="s">
        <v>94</v>
      </c>
      <c r="B129" s="145"/>
      <c r="C129" s="142">
        <v>4.4999999999999998E-2</v>
      </c>
      <c r="D129" s="142">
        <v>1E-3</v>
      </c>
      <c r="E129" s="285"/>
      <c r="F129" s="145"/>
      <c r="G129" s="145"/>
      <c r="H129" s="295"/>
      <c r="J129" s="142"/>
      <c r="K129" s="142"/>
      <c r="L129" s="142"/>
      <c r="M129" s="142"/>
      <c r="N129" s="142"/>
      <c r="O129" s="142"/>
      <c r="Q129" s="124"/>
      <c r="AA129" s="124"/>
    </row>
    <row r="130" spans="1:27" x14ac:dyDescent="0.25">
      <c r="A130" s="293"/>
      <c r="B130" s="145"/>
      <c r="C130" s="142"/>
      <c r="D130" s="142"/>
      <c r="E130" s="285"/>
      <c r="F130" s="145"/>
      <c r="G130" s="145"/>
      <c r="H130" s="295"/>
      <c r="J130" s="142"/>
      <c r="K130" s="142"/>
      <c r="L130" s="142"/>
      <c r="M130" s="142"/>
      <c r="N130" s="142"/>
      <c r="O130" s="142"/>
      <c r="Q130" s="124"/>
      <c r="AA130" s="124"/>
    </row>
    <row r="131" spans="1:27" x14ac:dyDescent="0.25">
      <c r="A131" s="293" t="s">
        <v>108</v>
      </c>
      <c r="B131" s="145"/>
      <c r="C131" s="142" t="s">
        <v>156</v>
      </c>
      <c r="D131" s="142">
        <v>2.5000000000000001E-3</v>
      </c>
      <c r="E131" s="301" t="s">
        <v>157</v>
      </c>
      <c r="F131" s="145"/>
      <c r="G131" s="145"/>
      <c r="H131" s="295"/>
      <c r="J131" s="142"/>
      <c r="K131" s="142"/>
      <c r="L131" s="142"/>
      <c r="M131" s="142"/>
      <c r="N131" s="142"/>
      <c r="O131" s="142"/>
      <c r="Q131" s="124"/>
      <c r="AA131" s="124"/>
    </row>
    <row r="132" spans="1:27" x14ac:dyDescent="0.25">
      <c r="A132" s="293"/>
      <c r="B132" s="145"/>
      <c r="C132" s="142"/>
      <c r="D132" s="142"/>
      <c r="E132" s="285"/>
      <c r="F132" s="145"/>
      <c r="G132" s="145"/>
      <c r="H132" s="295"/>
      <c r="J132" s="142"/>
      <c r="K132" s="142"/>
      <c r="L132" s="142"/>
      <c r="M132" s="142"/>
      <c r="N132" s="142"/>
      <c r="O132" s="142"/>
      <c r="Q132" s="124"/>
      <c r="AA132" s="124"/>
    </row>
    <row r="133" spans="1:27" x14ac:dyDescent="0.25">
      <c r="A133" s="293" t="s">
        <v>132</v>
      </c>
      <c r="B133" s="145"/>
      <c r="C133" s="142" t="s">
        <v>158</v>
      </c>
      <c r="D133" s="142">
        <v>1.14E-2</v>
      </c>
      <c r="E133" s="301" t="s">
        <v>157</v>
      </c>
      <c r="F133" s="145"/>
      <c r="G133" s="145"/>
      <c r="H133" s="295"/>
      <c r="J133" s="142"/>
      <c r="K133" s="142"/>
      <c r="L133" s="142"/>
      <c r="M133" s="142"/>
      <c r="N133" s="142"/>
      <c r="O133" s="142"/>
      <c r="Q133" s="124"/>
      <c r="AA133" s="124"/>
    </row>
    <row r="134" spans="1:27" x14ac:dyDescent="0.25">
      <c r="A134" s="293"/>
      <c r="B134" s="145"/>
      <c r="C134" s="142"/>
      <c r="D134" s="142"/>
      <c r="E134" s="301" t="s">
        <v>159</v>
      </c>
      <c r="F134" s="145"/>
      <c r="G134" s="145"/>
      <c r="H134" s="295"/>
      <c r="J134" s="142"/>
      <c r="K134" s="142"/>
      <c r="L134" s="142"/>
      <c r="M134" s="142"/>
      <c r="N134" s="142"/>
      <c r="O134" s="142"/>
      <c r="Q134" s="124"/>
      <c r="AA134" s="124"/>
    </row>
    <row r="135" spans="1:27" x14ac:dyDescent="0.25">
      <c r="A135" s="293" t="s">
        <v>95</v>
      </c>
      <c r="B135" s="145"/>
      <c r="C135" s="142" t="s">
        <v>161</v>
      </c>
      <c r="D135" s="142" t="s">
        <v>122</v>
      </c>
      <c r="E135" s="285"/>
      <c r="F135" s="145"/>
      <c r="G135" s="145"/>
      <c r="H135" s="295"/>
      <c r="J135" s="142"/>
      <c r="K135" s="142"/>
      <c r="L135" s="142"/>
      <c r="M135" s="142"/>
      <c r="N135" s="142"/>
      <c r="O135" s="142"/>
      <c r="Q135" s="124"/>
      <c r="AA135" s="124"/>
    </row>
    <row r="136" spans="1:27" x14ac:dyDescent="0.25">
      <c r="A136" s="293"/>
      <c r="B136" s="145"/>
      <c r="C136" s="142"/>
      <c r="D136" s="142"/>
      <c r="E136" s="285"/>
      <c r="F136" s="145"/>
      <c r="G136" s="145"/>
      <c r="H136" s="295"/>
      <c r="J136" s="142"/>
      <c r="K136" s="142"/>
      <c r="L136" s="142"/>
      <c r="M136" s="142"/>
      <c r="N136" s="142"/>
      <c r="O136" s="142"/>
      <c r="Q136" s="124"/>
      <c r="AA136" s="124"/>
    </row>
    <row r="137" spans="1:27" x14ac:dyDescent="0.25">
      <c r="A137" s="293" t="s">
        <v>96</v>
      </c>
      <c r="B137" s="145"/>
      <c r="C137" s="302" t="s">
        <v>119</v>
      </c>
      <c r="D137" s="142">
        <v>0.18</v>
      </c>
      <c r="E137" s="285"/>
      <c r="F137" s="142"/>
      <c r="G137" s="142"/>
      <c r="J137" s="142"/>
      <c r="K137" s="142"/>
      <c r="L137" s="142"/>
      <c r="M137" s="142"/>
      <c r="N137" s="124"/>
      <c r="O137" s="142"/>
      <c r="Q137" s="124"/>
      <c r="AA137" s="124"/>
    </row>
    <row r="138" spans="1:27" x14ac:dyDescent="0.25">
      <c r="A138" s="293"/>
      <c r="B138" s="145"/>
      <c r="C138" s="142"/>
      <c r="D138" s="142"/>
      <c r="E138" s="190"/>
      <c r="F138" s="124"/>
      <c r="G138" s="124"/>
      <c r="J138" s="142"/>
      <c r="K138" s="142"/>
      <c r="L138" s="142"/>
      <c r="M138" s="142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spans="1:27" x14ac:dyDescent="0.25">
      <c r="A139" s="293" t="s">
        <v>97</v>
      </c>
      <c r="B139" s="145"/>
      <c r="C139" s="297" t="s">
        <v>121</v>
      </c>
      <c r="D139" s="142">
        <v>0.25</v>
      </c>
      <c r="E139" s="285"/>
      <c r="F139" s="124"/>
      <c r="G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spans="1:27" ht="13.8" x14ac:dyDescent="0.25">
      <c r="A140" s="293"/>
      <c r="B140" s="145"/>
      <c r="C140" s="142"/>
      <c r="D140" s="142"/>
      <c r="E140" s="285"/>
      <c r="F140" s="124"/>
      <c r="G140" s="124"/>
      <c r="I140" s="104"/>
      <c r="J140" s="287"/>
      <c r="K140" s="287"/>
      <c r="L140" s="287"/>
      <c r="M140" s="287"/>
      <c r="N140" s="287"/>
      <c r="O140" s="303"/>
      <c r="P140" s="304"/>
      <c r="Q140" s="104"/>
      <c r="R140" s="104"/>
      <c r="S140" s="287"/>
      <c r="T140" s="104"/>
      <c r="U140" s="104"/>
      <c r="V140" s="104"/>
      <c r="W140" s="104"/>
      <c r="X140" s="104"/>
      <c r="Y140" s="104"/>
      <c r="Z140" s="104"/>
      <c r="AA140" s="124"/>
    </row>
    <row r="141" spans="1:27" x14ac:dyDescent="0.25">
      <c r="A141" s="293" t="s">
        <v>98</v>
      </c>
      <c r="B141" s="145"/>
      <c r="C141" s="142" t="s">
        <v>120</v>
      </c>
      <c r="D141" s="142">
        <v>0.39</v>
      </c>
      <c r="E141" s="190"/>
      <c r="F141" s="124"/>
      <c r="G141" s="124"/>
      <c r="I141" s="128"/>
      <c r="J141" s="104"/>
      <c r="K141" s="104"/>
      <c r="L141" s="104"/>
      <c r="M141" s="239"/>
      <c r="N141" s="239"/>
      <c r="O141" s="305"/>
      <c r="P141" s="239"/>
      <c r="Q141" s="239"/>
      <c r="R141" s="239"/>
      <c r="S141" s="239"/>
      <c r="T141" s="239"/>
      <c r="U141" s="239"/>
      <c r="V141" s="239"/>
      <c r="W141" s="239"/>
      <c r="X141" s="239"/>
      <c r="Y141" s="104"/>
      <c r="Z141" s="104"/>
      <c r="AA141" s="124"/>
    </row>
    <row r="142" spans="1:27" ht="13.8" thickBot="1" x14ac:dyDescent="0.3">
      <c r="A142" s="306" t="s">
        <v>160</v>
      </c>
      <c r="B142" s="307"/>
      <c r="C142" s="308" t="s">
        <v>153</v>
      </c>
      <c r="D142" s="307"/>
      <c r="E142" s="309"/>
      <c r="F142" s="124"/>
      <c r="I142" s="128"/>
      <c r="J142" s="104"/>
      <c r="K142" s="104"/>
      <c r="L142" s="104"/>
      <c r="M142" s="239"/>
      <c r="N142" s="239"/>
      <c r="O142" s="239"/>
      <c r="P142" s="239"/>
      <c r="Q142" s="239"/>
      <c r="R142" s="292"/>
      <c r="S142" s="292"/>
      <c r="T142" s="104"/>
      <c r="U142" s="310"/>
      <c r="V142" s="239"/>
      <c r="W142" s="311"/>
      <c r="X142" s="311"/>
      <c r="Y142" s="104"/>
      <c r="Z142" s="104"/>
      <c r="AA142" s="124"/>
    </row>
    <row r="143" spans="1:27" ht="13.8" thickTop="1" x14ac:dyDescent="0.25">
      <c r="B143" s="142"/>
      <c r="C143" s="269"/>
      <c r="D143" s="124"/>
      <c r="E143" s="124"/>
      <c r="F143" s="124"/>
      <c r="G143" s="124"/>
      <c r="I143" s="128"/>
      <c r="J143" s="104"/>
      <c r="K143" s="104"/>
      <c r="L143" s="104"/>
      <c r="M143" s="292"/>
      <c r="N143" s="292"/>
      <c r="O143" s="292"/>
      <c r="P143" s="292"/>
      <c r="Q143" s="292"/>
      <c r="R143" s="104"/>
      <c r="S143" s="104"/>
      <c r="T143" s="104"/>
      <c r="U143" s="104"/>
      <c r="V143" s="305"/>
      <c r="W143" s="104"/>
      <c r="X143" s="104"/>
      <c r="Y143" s="104"/>
      <c r="Z143" s="104"/>
      <c r="AA143" s="124"/>
    </row>
    <row r="144" spans="1:27" x14ac:dyDescent="0.25">
      <c r="B144" s="142"/>
      <c r="C144" s="142"/>
      <c r="D144" s="124"/>
      <c r="E144" s="124"/>
      <c r="F144" s="124"/>
      <c r="G144" s="124"/>
      <c r="I144" s="128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24"/>
    </row>
    <row r="145" spans="1:27" x14ac:dyDescent="0.25">
      <c r="B145" s="142"/>
      <c r="C145" s="142"/>
      <c r="D145" s="124"/>
      <c r="E145" s="124"/>
      <c r="F145" s="124"/>
      <c r="G145" s="124"/>
      <c r="I145" s="128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24"/>
    </row>
    <row r="146" spans="1:27" x14ac:dyDescent="0.25">
      <c r="B146" s="142"/>
      <c r="C146" s="145"/>
      <c r="D146" s="124"/>
      <c r="E146" s="124"/>
      <c r="F146" s="124"/>
      <c r="G146" s="124"/>
      <c r="I146" s="128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24"/>
    </row>
    <row r="147" spans="1:27" ht="13.8" x14ac:dyDescent="0.25">
      <c r="A147" s="141"/>
      <c r="B147" s="142"/>
      <c r="C147" s="142"/>
      <c r="D147" s="124"/>
      <c r="E147" s="124"/>
      <c r="F147" s="124"/>
      <c r="G147" s="124"/>
      <c r="I147" s="128"/>
      <c r="J147" s="312"/>
      <c r="K147" s="313"/>
      <c r="L147" s="313"/>
      <c r="M147" s="313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24"/>
    </row>
    <row r="148" spans="1:27" ht="13.8" x14ac:dyDescent="0.25">
      <c r="B148" s="142"/>
      <c r="C148" s="142"/>
      <c r="D148" s="124"/>
      <c r="E148" s="124"/>
      <c r="F148" s="124"/>
      <c r="G148" s="124"/>
      <c r="I148" s="128"/>
      <c r="J148" s="287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24"/>
    </row>
    <row r="149" spans="1:27" x14ac:dyDescent="0.25">
      <c r="B149" s="142"/>
      <c r="C149" s="142"/>
      <c r="D149" s="124"/>
      <c r="E149" s="124"/>
      <c r="F149" s="124"/>
      <c r="G149" s="124"/>
      <c r="I149" s="128"/>
      <c r="J149" s="314"/>
      <c r="K149" s="314"/>
      <c r="L149" s="314"/>
      <c r="M149" s="31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24"/>
    </row>
    <row r="150" spans="1:27" x14ac:dyDescent="0.25">
      <c r="B150" s="142"/>
      <c r="C150" s="142"/>
      <c r="D150" s="124"/>
      <c r="E150" s="124"/>
      <c r="F150" s="124"/>
      <c r="G150" s="124"/>
      <c r="I150" s="128"/>
      <c r="J150" s="104"/>
      <c r="K150" s="104"/>
      <c r="L150" s="292"/>
      <c r="M150" s="292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24"/>
    </row>
    <row r="151" spans="1:27" x14ac:dyDescent="0.25">
      <c r="B151" s="142"/>
      <c r="C151" s="142"/>
      <c r="D151" s="124"/>
      <c r="E151" s="124"/>
      <c r="F151" s="124"/>
      <c r="G151" s="124"/>
      <c r="I151" s="128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24"/>
    </row>
    <row r="152" spans="1:27" x14ac:dyDescent="0.25">
      <c r="B152" s="142"/>
      <c r="C152" s="142"/>
      <c r="D152" s="124"/>
      <c r="E152" s="124"/>
      <c r="F152" s="124"/>
      <c r="G152" s="124"/>
      <c r="I152" s="128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24"/>
    </row>
    <row r="153" spans="1:27" x14ac:dyDescent="0.25">
      <c r="B153" s="142"/>
      <c r="C153" s="142"/>
      <c r="D153" s="124"/>
      <c r="E153" s="124"/>
      <c r="F153" s="124"/>
      <c r="G153" s="124"/>
      <c r="I153" s="128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</row>
    <row r="154" spans="1:27" x14ac:dyDescent="0.25">
      <c r="B154" s="142"/>
      <c r="C154" s="142"/>
      <c r="D154" s="124"/>
      <c r="E154" s="124"/>
      <c r="F154" s="124"/>
      <c r="G154" s="124"/>
      <c r="I154" s="128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</row>
    <row r="155" spans="1:27" x14ac:dyDescent="0.25">
      <c r="B155" s="142"/>
      <c r="C155" s="142"/>
      <c r="D155" s="124"/>
      <c r="E155" s="124"/>
      <c r="F155" s="124"/>
      <c r="G155" s="124"/>
      <c r="I155" s="128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</row>
  </sheetData>
  <sheetProtection algorithmName="SHA-512" hashValue="IInboWRZc1WBxPwXIFjVmw6abW7XD5WETiMSVQt5Pfg6zxtZ+gUMH55nBZeawtjeWcjPK+OAXzW7f8CPY45yTw==" saltValue="0MDfycP6UsWSpupxcW90Rg==" spinCount="100000" sheet="1" objects="1" scenarios="1"/>
  <mergeCells count="4">
    <mergeCell ref="J79:M79"/>
    <mergeCell ref="E13:G13"/>
    <mergeCell ref="E22:G22"/>
    <mergeCell ref="E29:G29"/>
  </mergeCells>
  <phoneticPr fontId="2" type="noConversion"/>
  <hyperlinks>
    <hyperlink ref="D7" r:id="rId1" display="http://www.oekopriority.com/upload/download/Schwimmende_Estriche_UB_Traglastnachweis_2_von_2.pdf" xr:uid="{00000000-0004-0000-0000-000000000000}"/>
    <hyperlink ref="C142" r:id="rId2" display="http://www.oekopriority.com/upload/download/Schwimmende_Estriche_UB_Traglastnachweis_2_von_2.pdf" xr:uid="{00000000-0004-0000-0000-000001000000}"/>
  </hyperlinks>
  <pageMargins left="0.78740157499999996" right="0.78740157499999996" top="0.984251969" bottom="0.984251969" header="0.4921259845" footer="0.4921259845"/>
  <pageSetup paperSize="9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8"/>
  <sheetViews>
    <sheetView topLeftCell="C1" workbookViewId="0">
      <selection activeCell="I26" sqref="I26"/>
    </sheetView>
  </sheetViews>
  <sheetFormatPr baseColWidth="10" defaultRowHeight="13.2" x14ac:dyDescent="0.25"/>
  <cols>
    <col min="1" max="1" width="27" customWidth="1"/>
    <col min="2" max="2" width="18.44140625" customWidth="1"/>
    <col min="3" max="3" width="20.6640625" customWidth="1"/>
    <col min="4" max="4" width="13.6640625" customWidth="1"/>
    <col min="5" max="5" width="22.6640625" customWidth="1"/>
    <col min="6" max="6" width="15.88671875" customWidth="1"/>
    <col min="7" max="7" width="16" customWidth="1"/>
    <col min="8" max="8" width="21.44140625" customWidth="1"/>
    <col min="9" max="9" width="22.109375" customWidth="1"/>
    <col min="10" max="10" width="17.44140625" customWidth="1"/>
    <col min="11" max="11" width="19.109375" customWidth="1"/>
    <col min="12" max="12" width="19.88671875" customWidth="1"/>
    <col min="13" max="13" width="22.88671875" customWidth="1"/>
    <col min="14" max="14" width="14.5546875" customWidth="1"/>
    <col min="15" max="15" width="18" customWidth="1"/>
    <col min="16" max="16" width="18.88671875" customWidth="1"/>
    <col min="17" max="17" width="11.5546875" customWidth="1"/>
    <col min="20" max="20" width="15.5546875" customWidth="1"/>
    <col min="22" max="22" width="12.33203125" customWidth="1"/>
    <col min="23" max="23" width="11.5546875" customWidth="1"/>
    <col min="24" max="24" width="10.5546875" customWidth="1"/>
    <col min="25" max="25" width="11.33203125" customWidth="1"/>
  </cols>
  <sheetData>
    <row r="1" spans="1:16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7.399999999999999" x14ac:dyDescent="0.3">
      <c r="A2" s="9"/>
      <c r="B2" s="9"/>
      <c r="C2" s="9"/>
      <c r="D2" s="9"/>
      <c r="E2" s="9"/>
      <c r="F2" s="9"/>
      <c r="G2" s="9"/>
      <c r="H2" s="6"/>
      <c r="I2" s="6"/>
      <c r="J2" s="6"/>
      <c r="K2" s="6"/>
      <c r="L2" s="6"/>
      <c r="M2" s="6"/>
      <c r="N2" s="6"/>
      <c r="O2" s="4"/>
      <c r="P2" s="4"/>
    </row>
    <row r="3" spans="1:16" ht="17.399999999999999" x14ac:dyDescent="0.3">
      <c r="A3" s="9"/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3.8" x14ac:dyDescent="0.25">
      <c r="A5" s="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5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7.399999999999999" x14ac:dyDescent="0.3">
      <c r="A7" s="9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7.399999999999999" x14ac:dyDescent="0.3">
      <c r="A8" s="9"/>
      <c r="B8" s="7"/>
      <c r="C8" s="7"/>
      <c r="D8" s="7"/>
      <c r="E8" s="7"/>
      <c r="F8" s="7"/>
      <c r="G8" s="7"/>
      <c r="H8" s="7"/>
      <c r="I8" s="7"/>
      <c r="J8" s="4"/>
      <c r="K8" s="4"/>
      <c r="L8" s="4"/>
      <c r="M8" s="4"/>
      <c r="N8" s="4"/>
      <c r="O8" s="4"/>
      <c r="P8" s="4"/>
    </row>
    <row r="9" spans="1:16" ht="13.8" x14ac:dyDescent="0.25">
      <c r="A9" s="8"/>
      <c r="B9" s="77"/>
      <c r="C9" s="8"/>
      <c r="D9" s="7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3.8" x14ac:dyDescent="0.25">
      <c r="A11" s="85"/>
      <c r="B11" s="8"/>
      <c r="C11" s="8"/>
      <c r="D11" s="8"/>
      <c r="E11" s="3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3.8" x14ac:dyDescent="0.25">
      <c r="A13" s="4"/>
      <c r="B13" s="75"/>
      <c r="C13" s="4"/>
      <c r="D13" s="4"/>
      <c r="E13" s="2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3.8" x14ac:dyDescent="0.25">
      <c r="A15" s="4"/>
      <c r="B15" s="75"/>
      <c r="C15" s="4"/>
      <c r="D15" s="4"/>
      <c r="E15" s="55"/>
      <c r="F15" s="86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/>
      <c r="B16" s="4"/>
      <c r="C16" s="4"/>
      <c r="D16" s="4"/>
      <c r="E16" s="2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3.8" x14ac:dyDescent="0.25">
      <c r="A17" s="4"/>
      <c r="B17" s="75"/>
      <c r="C17" s="4"/>
      <c r="D17" s="4"/>
      <c r="E17" s="55"/>
      <c r="F17" s="86"/>
      <c r="G17" s="75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2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13.8" x14ac:dyDescent="0.25">
      <c r="A20" s="85"/>
      <c r="B20" s="4"/>
      <c r="C20" s="4"/>
      <c r="D20" s="4"/>
      <c r="E20" s="2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2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3.8" x14ac:dyDescent="0.25">
      <c r="A22" s="4"/>
      <c r="B22" s="75"/>
      <c r="C22" s="4"/>
      <c r="D22" s="4"/>
      <c r="E22" s="8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2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3.8" x14ac:dyDescent="0.25">
      <c r="A24" s="4"/>
      <c r="B24" s="75"/>
      <c r="C24" s="4"/>
      <c r="D24" s="4"/>
      <c r="E24" s="55"/>
      <c r="F24" s="59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3.8" x14ac:dyDescent="0.25">
      <c r="A26" s="4"/>
      <c r="B26" s="75"/>
      <c r="C26" s="4"/>
      <c r="D26" s="4"/>
      <c r="E26" s="55"/>
      <c r="F26" s="59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2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2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3.8" x14ac:dyDescent="0.25">
      <c r="A29" s="4"/>
      <c r="B29" s="75"/>
      <c r="C29" s="4"/>
      <c r="D29" s="4"/>
      <c r="E29" s="8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3.8" x14ac:dyDescent="0.25">
      <c r="A31" s="4"/>
      <c r="B31" s="75"/>
      <c r="C31" s="4"/>
      <c r="D31" s="4"/>
      <c r="E31" s="55"/>
      <c r="F31" s="59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3.8" x14ac:dyDescent="0.25">
      <c r="A33" s="4"/>
      <c r="B33" s="75"/>
      <c r="C33" s="4"/>
      <c r="D33" s="4"/>
      <c r="E33" s="55"/>
      <c r="F33" s="59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2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3.8" x14ac:dyDescent="0.25">
      <c r="A36" s="4"/>
      <c r="B36" s="75"/>
      <c r="C36" s="4"/>
      <c r="D36" s="4"/>
      <c r="E36" s="2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2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3.8" x14ac:dyDescent="0.25">
      <c r="A38" s="4"/>
      <c r="B38" s="75"/>
      <c r="C38" s="4"/>
      <c r="D38" s="4"/>
      <c r="E38" s="55"/>
      <c r="F38" s="59"/>
      <c r="G38" s="29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28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13.8" x14ac:dyDescent="0.25">
      <c r="A40" s="4"/>
      <c r="B40" s="75"/>
      <c r="C40" s="4"/>
      <c r="D40" s="4"/>
      <c r="E40" s="55"/>
      <c r="F40" s="59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/>
      <c r="B42" s="4"/>
      <c r="C42" s="4"/>
      <c r="D42" s="4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13.8" x14ac:dyDescent="0.25">
      <c r="A43" s="4"/>
      <c r="B43" s="8"/>
      <c r="C43" s="4"/>
      <c r="D43" s="4"/>
      <c r="E43" s="55"/>
      <c r="F43" s="59"/>
      <c r="G43" s="75"/>
      <c r="H43" s="4"/>
      <c r="I43" s="4"/>
      <c r="J43" s="4"/>
      <c r="K43" s="4"/>
      <c r="L43" s="4"/>
      <c r="M43" s="4"/>
      <c r="N43" s="4"/>
      <c r="O43" s="4"/>
      <c r="P43" s="4"/>
    </row>
    <row r="44" spans="1:16" ht="13.8" x14ac:dyDescent="0.25">
      <c r="A44" s="4"/>
      <c r="B44" s="4"/>
      <c r="C44" s="4"/>
      <c r="D44" s="4"/>
      <c r="E44" s="28"/>
      <c r="F44" s="4"/>
      <c r="G44" s="76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/>
      <c r="B45" s="4"/>
      <c r="C45" s="4"/>
      <c r="D45" s="4"/>
      <c r="E45" s="2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13.8" x14ac:dyDescent="0.25">
      <c r="A46" s="85"/>
      <c r="B46" s="4"/>
      <c r="C46" s="4"/>
      <c r="D46" s="4"/>
      <c r="E46" s="2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/>
      <c r="B47" s="4"/>
      <c r="C47" s="4"/>
      <c r="D47" s="4"/>
      <c r="E47" s="28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13.8" x14ac:dyDescent="0.25">
      <c r="A48" s="4"/>
      <c r="B48" s="88"/>
      <c r="C48" s="89"/>
      <c r="D48" s="89"/>
      <c r="E48" s="55"/>
      <c r="F48" s="59"/>
      <c r="G48" s="75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90"/>
      <c r="C49" s="91"/>
      <c r="D49" s="4"/>
      <c r="E49" s="28"/>
      <c r="F49" s="4"/>
      <c r="G49" s="90"/>
      <c r="H49" s="90"/>
      <c r="I49" s="90"/>
      <c r="J49" s="4"/>
      <c r="K49" s="4"/>
      <c r="L49" s="4"/>
      <c r="M49" s="4"/>
      <c r="N49" s="4"/>
      <c r="O49" s="4"/>
      <c r="P49" s="4"/>
    </row>
    <row r="50" spans="1:16" ht="13.8" x14ac:dyDescent="0.25">
      <c r="A50" s="4"/>
      <c r="B50" s="75"/>
      <c r="C50" s="4"/>
      <c r="D50" s="4"/>
      <c r="E50" s="55"/>
      <c r="F50" s="59"/>
      <c r="G50" s="92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53"/>
      <c r="C51" s="4"/>
      <c r="D51" s="4"/>
      <c r="E51" s="28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3.8" x14ac:dyDescent="0.25">
      <c r="A52" s="4"/>
      <c r="B52" s="76"/>
      <c r="C52" s="4"/>
      <c r="D52" s="4"/>
      <c r="E52" s="55"/>
      <c r="F52" s="59"/>
      <c r="G52" s="92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53"/>
      <c r="C53" s="4"/>
      <c r="D53" s="4"/>
      <c r="E53" s="28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3.8" x14ac:dyDescent="0.25">
      <c r="A54" s="4"/>
      <c r="B54" s="76"/>
      <c r="C54" s="4"/>
      <c r="D54" s="4"/>
      <c r="E54" s="55"/>
      <c r="F54" s="59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53"/>
      <c r="C55" s="4"/>
      <c r="D55" s="4"/>
      <c r="E55" s="28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3.8" x14ac:dyDescent="0.25">
      <c r="A56" s="4"/>
      <c r="B56" s="76"/>
      <c r="C56" s="4"/>
      <c r="D56" s="4"/>
      <c r="E56" s="55"/>
      <c r="F56" s="59"/>
      <c r="G56" s="85"/>
      <c r="H56" s="77"/>
      <c r="I56" s="77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/>
      <c r="C57" s="4"/>
      <c r="D57" s="4"/>
      <c r="E57" s="28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13.8" x14ac:dyDescent="0.25">
      <c r="A58" s="4"/>
      <c r="B58" s="75"/>
      <c r="C58" s="4"/>
      <c r="D58" s="4"/>
      <c r="E58" s="55"/>
      <c r="F58" s="59"/>
      <c r="G58" s="75"/>
      <c r="H58" s="4"/>
      <c r="I58" s="4"/>
      <c r="J58" s="4"/>
      <c r="K58" s="4"/>
      <c r="L58" s="4"/>
      <c r="M58" s="4"/>
      <c r="N58" s="4"/>
      <c r="O58" s="4"/>
      <c r="P58" s="4"/>
    </row>
    <row r="59" spans="1:16" ht="13.8" x14ac:dyDescent="0.25">
      <c r="A59" s="4"/>
      <c r="B59" s="4"/>
      <c r="C59" s="4"/>
      <c r="D59" s="4"/>
      <c r="E59" s="93"/>
      <c r="F59" s="77"/>
      <c r="G59" s="77"/>
      <c r="H59" s="77"/>
      <c r="I59" s="77"/>
      <c r="J59" s="94"/>
      <c r="K59" s="93"/>
      <c r="L59" s="4"/>
      <c r="M59" s="4"/>
      <c r="N59" s="4"/>
      <c r="O59" s="4"/>
      <c r="P59" s="4"/>
    </row>
    <row r="60" spans="1:16" ht="13.8" x14ac:dyDescent="0.25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13.8" x14ac:dyDescent="0.25">
      <c r="A62" s="7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13.8" x14ac:dyDescent="0.25">
      <c r="A63" s="7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3.8" x14ac:dyDescent="0.25">
      <c r="A64" s="7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2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26" ht="13.8" x14ac:dyDescent="0.25">
      <c r="A66" s="7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26" ht="13.8" x14ac:dyDescent="0.25">
      <c r="A67" s="75"/>
      <c r="B67" s="76"/>
      <c r="C67" s="4"/>
      <c r="D67" s="4"/>
      <c r="E67" s="4"/>
      <c r="F67" s="4"/>
      <c r="G67" s="76"/>
      <c r="H67" s="4"/>
      <c r="I67" s="4"/>
      <c r="J67" s="4"/>
      <c r="K67" s="4"/>
      <c r="L67" s="4"/>
      <c r="M67" s="4"/>
      <c r="N67" s="4"/>
      <c r="O67" s="4"/>
      <c r="P67" s="4"/>
      <c r="X67" s="12"/>
    </row>
    <row r="68" spans="1:26" ht="13.8" x14ac:dyDescent="0.25">
      <c r="A68" s="75"/>
      <c r="B68" s="4"/>
      <c r="C68" s="4"/>
      <c r="D68" s="4"/>
      <c r="E68" s="28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26" ht="13.8" x14ac:dyDescent="0.25">
      <c r="A69" s="75"/>
      <c r="B69" s="76"/>
      <c r="C69" s="4"/>
      <c r="D69" s="4"/>
      <c r="E69" s="4"/>
      <c r="F69" s="59"/>
      <c r="G69" s="76"/>
      <c r="H69" s="29"/>
      <c r="I69" s="29"/>
      <c r="J69" s="29"/>
      <c r="K69" s="4"/>
      <c r="L69" s="4"/>
      <c r="M69" s="4"/>
      <c r="N69" s="4"/>
      <c r="O69" s="4"/>
      <c r="P69" s="4"/>
    </row>
    <row r="70" spans="1:26" ht="13.8" x14ac:dyDescent="0.25">
      <c r="A70" s="8"/>
      <c r="B70" s="77"/>
      <c r="C70" s="77"/>
      <c r="D70" s="77"/>
      <c r="E70" s="55"/>
      <c r="F70" s="55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26" ht="13.8" x14ac:dyDescent="0.25">
      <c r="A71" s="4"/>
      <c r="B71" s="4"/>
      <c r="C71" s="4"/>
      <c r="D71" s="4"/>
      <c r="E71" s="4"/>
      <c r="F71" s="4"/>
      <c r="G71" s="55"/>
      <c r="H71" s="4"/>
      <c r="I71" s="4"/>
      <c r="J71" s="4"/>
      <c r="K71" s="4"/>
      <c r="L71" s="4"/>
      <c r="M71" s="4"/>
      <c r="N71" s="4"/>
      <c r="O71" s="4"/>
      <c r="P71" s="4"/>
    </row>
    <row r="72" spans="1:26" ht="13.8" x14ac:dyDescent="0.25">
      <c r="A72" s="95"/>
      <c r="B72" s="96"/>
      <c r="C72" s="96"/>
      <c r="D72" s="96"/>
      <c r="E72" s="96"/>
      <c r="F72" s="96"/>
      <c r="G72" s="96"/>
      <c r="H72" s="96"/>
      <c r="I72" s="96"/>
      <c r="J72" s="4"/>
      <c r="K72" s="4"/>
      <c r="L72" s="4"/>
      <c r="M72" s="4"/>
      <c r="N72" s="4"/>
      <c r="O72" s="4"/>
      <c r="P72" s="4"/>
    </row>
    <row r="73" spans="1:26" x14ac:dyDescent="0.25">
      <c r="A73" s="53"/>
      <c r="B73" s="4"/>
      <c r="C73" s="4"/>
      <c r="D73" s="4"/>
      <c r="E73" s="4"/>
      <c r="F73" s="4"/>
      <c r="G73" s="4"/>
      <c r="H73" s="4"/>
      <c r="I73" s="4"/>
      <c r="J73" s="96"/>
      <c r="K73" s="4"/>
      <c r="L73" s="4"/>
      <c r="M73" s="4"/>
      <c r="N73" s="4"/>
      <c r="O73" s="4"/>
      <c r="P73" s="4"/>
    </row>
    <row r="74" spans="1:26" ht="14.4" thickBo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57"/>
    </row>
    <row r="75" spans="1:26" ht="14.4" thickTop="1" x14ac:dyDescent="0.25">
      <c r="A75" s="55"/>
      <c r="B75" s="8"/>
      <c r="C75" s="8"/>
      <c r="D75" s="8"/>
      <c r="E75" s="8"/>
      <c r="F75" s="4"/>
      <c r="G75" s="4"/>
      <c r="H75" s="8"/>
      <c r="I75" s="4"/>
      <c r="J75" s="35"/>
      <c r="K75" s="36"/>
      <c r="L75" s="36"/>
      <c r="M75" s="36"/>
      <c r="N75" s="4"/>
      <c r="O75" s="4"/>
      <c r="P75" s="8"/>
      <c r="Q75" s="15"/>
      <c r="R75" s="15"/>
      <c r="S75" s="10"/>
      <c r="T75" s="10"/>
      <c r="U75" s="10"/>
      <c r="V75" s="10"/>
      <c r="W75" s="10"/>
      <c r="X75" s="10"/>
      <c r="Y75" s="11"/>
    </row>
    <row r="76" spans="1:26" ht="14.4" thickBot="1" x14ac:dyDescent="0.3">
      <c r="A76" s="27"/>
      <c r="B76" s="8"/>
      <c r="C76" s="8"/>
      <c r="D76" s="8"/>
      <c r="E76" s="8"/>
      <c r="F76" s="27"/>
      <c r="G76" s="28"/>
      <c r="H76" s="8"/>
      <c r="I76" s="8"/>
      <c r="J76" s="8"/>
      <c r="K76" s="4"/>
      <c r="L76" s="4"/>
      <c r="M76" s="4"/>
      <c r="N76" s="8"/>
      <c r="O76" s="4"/>
      <c r="P76" s="4"/>
      <c r="Q76" s="83" t="s">
        <v>74</v>
      </c>
      <c r="R76" s="25"/>
      <c r="S76" s="23"/>
      <c r="T76" s="23"/>
      <c r="U76" s="23"/>
      <c r="V76" s="23"/>
      <c r="W76" s="23"/>
      <c r="X76" s="23"/>
      <c r="Y76" s="24"/>
    </row>
    <row r="77" spans="1:26" ht="14.4" thickTop="1" x14ac:dyDescent="0.25">
      <c r="A77" s="55"/>
      <c r="B77" s="36"/>
      <c r="C77" s="28"/>
      <c r="D77" s="36"/>
      <c r="E77" s="28"/>
      <c r="F77" s="97"/>
      <c r="G77" s="28"/>
      <c r="H77" s="36"/>
      <c r="I77" s="28"/>
      <c r="J77" s="77"/>
      <c r="K77" s="77"/>
      <c r="L77" s="87"/>
      <c r="M77" s="37"/>
      <c r="N77" s="3"/>
      <c r="O77" s="3"/>
      <c r="P77" s="32"/>
      <c r="Q77" s="84" t="s">
        <v>24</v>
      </c>
      <c r="R77" s="17" t="s">
        <v>27</v>
      </c>
      <c r="S77" s="17" t="s">
        <v>44</v>
      </c>
      <c r="T77" s="17" t="s">
        <v>45</v>
      </c>
      <c r="U77" s="17" t="s">
        <v>51</v>
      </c>
      <c r="V77" s="17" t="s">
        <v>48</v>
      </c>
      <c r="W77" s="17" t="s">
        <v>52</v>
      </c>
      <c r="X77" s="17" t="s">
        <v>53</v>
      </c>
      <c r="Y77" s="18" t="s">
        <v>54</v>
      </c>
      <c r="Z77" s="48"/>
    </row>
    <row r="78" spans="1:26" ht="13.8" thickBot="1" x14ac:dyDescent="0.3">
      <c r="A78" s="28"/>
      <c r="B78" s="97"/>
      <c r="C78" s="28"/>
      <c r="D78" s="97"/>
      <c r="E78" s="28"/>
      <c r="F78" s="97"/>
      <c r="G78" s="28"/>
      <c r="H78" s="98"/>
      <c r="I78" s="29"/>
      <c r="J78" s="14"/>
      <c r="K78" s="14"/>
      <c r="L78" s="14"/>
      <c r="M78" s="14"/>
      <c r="N78" s="3"/>
      <c r="O78" s="3"/>
      <c r="P78" s="3"/>
      <c r="Q78" s="30" t="s">
        <v>85</v>
      </c>
      <c r="R78" s="19" t="s">
        <v>18</v>
      </c>
      <c r="S78" s="16" t="s">
        <v>22</v>
      </c>
      <c r="T78" s="16" t="s">
        <v>46</v>
      </c>
      <c r="U78" s="16" t="s">
        <v>47</v>
      </c>
      <c r="V78" s="22" t="s">
        <v>49</v>
      </c>
      <c r="W78" s="19" t="s">
        <v>18</v>
      </c>
      <c r="X78" s="20" t="s">
        <v>18</v>
      </c>
      <c r="Y78" s="21" t="s">
        <v>18</v>
      </c>
    </row>
    <row r="79" spans="1:26" ht="14.4" thickTop="1" x14ac:dyDescent="0.25">
      <c r="A79" s="55"/>
      <c r="B79" s="59"/>
      <c r="C79" s="59"/>
      <c r="D79" s="59"/>
      <c r="E79" s="59"/>
      <c r="F79" s="59"/>
      <c r="G79" s="59"/>
      <c r="H79" s="76"/>
      <c r="I79" s="76"/>
      <c r="J79" s="337"/>
      <c r="K79" s="338"/>
      <c r="L79" s="338"/>
      <c r="M79" s="338"/>
      <c r="N79" s="76"/>
      <c r="O79" s="76"/>
      <c r="P79" s="76"/>
      <c r="Q79" s="61"/>
      <c r="R79" s="42"/>
      <c r="S79" s="42"/>
      <c r="T79" s="42"/>
      <c r="U79" s="42"/>
      <c r="V79" s="42"/>
      <c r="W79" s="42"/>
      <c r="X79" s="42"/>
      <c r="Y79" s="43"/>
    </row>
    <row r="80" spans="1:26" ht="13.8" x14ac:dyDescent="0.25">
      <c r="A80" s="55"/>
      <c r="B80" s="55"/>
      <c r="C80" s="59"/>
      <c r="D80" s="55"/>
      <c r="E80" s="59"/>
      <c r="F80" s="55"/>
      <c r="G80" s="59"/>
      <c r="H80" s="55"/>
      <c r="I80" s="59"/>
      <c r="J80" s="59"/>
      <c r="K80" s="59"/>
      <c r="L80" s="59"/>
      <c r="M80" s="59"/>
      <c r="N80" s="59"/>
      <c r="O80" s="59"/>
      <c r="P80" s="59"/>
      <c r="Q80" s="78" t="e">
        <f>(E58/(((E26+E33+E40)/A80)*((E58/(E70+0.0001)))+0.83*((E15/E58)^0.333)-((E26+E33+E40)/A80)))</f>
        <v>#DIV/0!</v>
      </c>
      <c r="R80" s="44" t="e">
        <f>(((E15*(A80^3))/(12*(10^-3)*P80)))^0.25</f>
        <v>#DIV/0!</v>
      </c>
      <c r="S80" s="44" t="e">
        <f>((E15*10^3*(A80*10^-3)^3*0.08333)/(T80+(E15*10^3*(A80*10^-3)^3*0.08333)))</f>
        <v>#DIV/0!</v>
      </c>
      <c r="T80" s="44" t="e">
        <f>(D80*E52^2*300)/(48*V80)</f>
        <v>#DIV/0!</v>
      </c>
      <c r="U80" s="44" t="e">
        <f>(S80*E50*E52^2*6)/(8*(A80*10^-3)^2)</f>
        <v>#DIV/0!</v>
      </c>
      <c r="V80" s="44" t="e">
        <f>((1+(0.625*(E50+A80*10^-3*E54)*E52)/D80)^-1)</f>
        <v>#DIV/0!</v>
      </c>
      <c r="W80" s="44" t="e">
        <f>(5*E50*S80*E52^4)/(384*E15*10^3*(A80*10^-3)^3*0.08333)*10^3</f>
        <v>#DIV/0!</v>
      </c>
      <c r="X80" s="44" t="e">
        <f>(H80*E52^3)/(48*E15*10^3*(A80*10^-3)^3*0.08333)*10^3</f>
        <v>#DIV/0!</v>
      </c>
      <c r="Y80" s="45" t="e">
        <f>(H80/D80)*E80</f>
        <v>#DIV/0!</v>
      </c>
    </row>
    <row r="81" spans="1:27" ht="13.8" x14ac:dyDescent="0.25">
      <c r="A81" s="55"/>
      <c r="B81" s="55"/>
      <c r="C81" s="59"/>
      <c r="D81" s="55"/>
      <c r="E81" s="59"/>
      <c r="F81" s="55"/>
      <c r="G81" s="59"/>
      <c r="H81" s="55"/>
      <c r="I81" s="59"/>
      <c r="J81" s="59"/>
      <c r="K81" s="59"/>
      <c r="L81" s="59"/>
      <c r="M81" s="59"/>
      <c r="N81" s="59"/>
      <c r="O81" s="59"/>
      <c r="P81" s="59"/>
      <c r="Q81" s="78" t="e">
        <f>(E58/(((E26+E33+E40)/A81)*((E58/(E70+0.0001)))+0.83*((E15/E58)^0.333)-((E26+E33+E40)/A81)))</f>
        <v>#DIV/0!</v>
      </c>
      <c r="R81" s="44" t="e">
        <f>(((E15*(A81^3))/(12*(10^-3)*P81)))^0.25</f>
        <v>#DIV/0!</v>
      </c>
      <c r="S81" s="44" t="e">
        <f>((E15*10^3*(A81*10^-3)^3*0.08333)/(T81+(E15*10^3*(A81*10^-3)^3*0.08333)))</f>
        <v>#DIV/0!</v>
      </c>
      <c r="T81" s="44" t="e">
        <f>(D81*E52^2*300)/(48*V81)</f>
        <v>#DIV/0!</v>
      </c>
      <c r="U81" s="44" t="e">
        <f>(S81*E50*E52^2*6)/(8*(A81*10^-3)^2)</f>
        <v>#DIV/0!</v>
      </c>
      <c r="V81" s="44" t="e">
        <f>((1+(0.625*(E50+A81*10^-3*E54)*E52)/D81)^-1)</f>
        <v>#DIV/0!</v>
      </c>
      <c r="W81" s="44" t="e">
        <f>(5*E50*S81*E52^4)/(384*E15*10^3*(A81*10^-3)^3*0.08333)*10^3</f>
        <v>#DIV/0!</v>
      </c>
      <c r="X81" s="44" t="e">
        <f>(H81*E52^3)/(48*E15*10^3*(A81*10^-3)^3*0.08333)*10^3</f>
        <v>#DIV/0!</v>
      </c>
      <c r="Y81" s="45" t="e">
        <f t="shared" ref="Y81:Y104" si="0">(H81/D81)*E81</f>
        <v>#DIV/0!</v>
      </c>
    </row>
    <row r="82" spans="1:27" ht="13.8" x14ac:dyDescent="0.25">
      <c r="A82" s="55"/>
      <c r="B82" s="55"/>
      <c r="C82" s="59"/>
      <c r="D82" s="55"/>
      <c r="E82" s="59"/>
      <c r="F82" s="55"/>
      <c r="G82" s="59"/>
      <c r="H82" s="55"/>
      <c r="I82" s="59"/>
      <c r="J82" s="59"/>
      <c r="K82" s="59"/>
      <c r="L82" s="59"/>
      <c r="M82" s="59"/>
      <c r="N82" s="59"/>
      <c r="O82" s="59"/>
      <c r="P82" s="59"/>
      <c r="Q82" s="78" t="e">
        <f>(E58/(((E26+E33+E40)/A82)*((E58/(E70+0.0001)))+0.83*((E15/E58)^0.333)-((E26+E33+E40)/A82)))</f>
        <v>#DIV/0!</v>
      </c>
      <c r="R82" s="44" t="e">
        <f>(((E15*(A82^3))/(12*(10^-3)*P82)))^0.25</f>
        <v>#DIV/0!</v>
      </c>
      <c r="S82" s="44" t="e">
        <f>((E15*10^3*(A82*10^-3)^3*0.08333)/(T82+(E15*10^3*(A82*10^-3)^3*0.08333)))</f>
        <v>#DIV/0!</v>
      </c>
      <c r="T82" s="44" t="e">
        <f>(D82*E52^2*300)/(48*V82)</f>
        <v>#DIV/0!</v>
      </c>
      <c r="U82" s="44" t="e">
        <f>(S82*E50*E52^2*6)/(8*(A82*10^-3)^2)</f>
        <v>#DIV/0!</v>
      </c>
      <c r="V82" s="44" t="e">
        <f>((1+(0.625*(E50+A82*10^-3*E54)*E52)/D82)^-1)</f>
        <v>#DIV/0!</v>
      </c>
      <c r="W82" s="44" t="e">
        <f>(5*E50*S82*E52^4)/(384*E15*10^3*(A82*10^-3)^3*0.08333)*10^3</f>
        <v>#DIV/0!</v>
      </c>
      <c r="X82" s="44" t="e">
        <f>(H82*E52^3)/(48*E15*10^3*(A82*10^-3)^3*0.08333)*10^3</f>
        <v>#DIV/0!</v>
      </c>
      <c r="Y82" s="45" t="e">
        <f t="shared" si="0"/>
        <v>#DIV/0!</v>
      </c>
    </row>
    <row r="83" spans="1:27" ht="13.8" x14ac:dyDescent="0.25">
      <c r="A83" s="55"/>
      <c r="B83" s="55"/>
      <c r="C83" s="59"/>
      <c r="D83" s="55"/>
      <c r="E83" s="59"/>
      <c r="F83" s="55"/>
      <c r="G83" s="59"/>
      <c r="H83" s="55"/>
      <c r="I83" s="59"/>
      <c r="J83" s="59"/>
      <c r="K83" s="59"/>
      <c r="L83" s="59"/>
      <c r="M83" s="59"/>
      <c r="N83" s="59"/>
      <c r="O83" s="59"/>
      <c r="P83" s="59"/>
      <c r="Q83" s="78" t="e">
        <f>(E58/(((E26+E33+E40)/A83)*((E58/(E70+0.0001)))+0.83*((E15/E58)^0.333)-((E26+E33+E40)/A83)))</f>
        <v>#DIV/0!</v>
      </c>
      <c r="R83" s="44" t="e">
        <f>(((E15*(A83^3))/(12*(10^-3)*P83)))^0.25</f>
        <v>#DIV/0!</v>
      </c>
      <c r="S83" s="44" t="e">
        <f>((E15*10^3*(A83*10^-3)^3*0.08333)/(T83+(E15*10^3*(A83*10^-3)^3*0.08333)))</f>
        <v>#DIV/0!</v>
      </c>
      <c r="T83" s="44" t="e">
        <f>(D83*E52^2*300)/(48*V83)</f>
        <v>#DIV/0!</v>
      </c>
      <c r="U83" s="44" t="e">
        <f>(S83*E50*E52^2*6)/(8*(A83*10^-3)^2)</f>
        <v>#DIV/0!</v>
      </c>
      <c r="V83" s="44" t="e">
        <f>((1+(0.625*(E50+A83*10^-3*E54)*E52)/D83)^-1)</f>
        <v>#DIV/0!</v>
      </c>
      <c r="W83" s="44" t="e">
        <f>(5*E50*S83*E52^4)/(384*E15*10^3*(A83*10^-3)^3*0.08333)*10^3</f>
        <v>#DIV/0!</v>
      </c>
      <c r="X83" s="44" t="e">
        <f>(H83*E52^3)/(48*E15*10^3*(A83*10^-3)^3*0.08333)*10^3</f>
        <v>#DIV/0!</v>
      </c>
      <c r="Y83" s="45" t="e">
        <f t="shared" si="0"/>
        <v>#DIV/0!</v>
      </c>
    </row>
    <row r="84" spans="1:27" ht="13.8" x14ac:dyDescent="0.25">
      <c r="A84" s="55"/>
      <c r="B84" s="55"/>
      <c r="C84" s="59"/>
      <c r="D84" s="55"/>
      <c r="E84" s="59"/>
      <c r="F84" s="55"/>
      <c r="G84" s="59"/>
      <c r="H84" s="55"/>
      <c r="I84" s="59"/>
      <c r="J84" s="59"/>
      <c r="K84" s="59"/>
      <c r="L84" s="59"/>
      <c r="M84" s="59"/>
      <c r="N84" s="59"/>
      <c r="O84" s="59"/>
      <c r="P84" s="59"/>
      <c r="Q84" s="78" t="e">
        <f>(E58/(((E26+E33+E40)/A84)*((E58/(E70+0.0001)))+0.83*((E15/E58)^0.333)-((E26+E33+E40)/A84)))</f>
        <v>#DIV/0!</v>
      </c>
      <c r="R84" s="44" t="e">
        <f>(((E15*(A84^3))/(12*(10^-3)*P84)))^0.25</f>
        <v>#DIV/0!</v>
      </c>
      <c r="S84" s="44" t="e">
        <f>((E15*10^3*(A84*10^-3)^3*0.08333)/(T84+(E15*10^3*(A84*10^-3)^3*0.08333)))</f>
        <v>#DIV/0!</v>
      </c>
      <c r="T84" s="44" t="e">
        <f>(D84*E52^2*300)/(48*V84)</f>
        <v>#DIV/0!</v>
      </c>
      <c r="U84" s="44" t="e">
        <f>(S84*E50*E52^2*6)/(8*(A84*10^-3)^2)</f>
        <v>#DIV/0!</v>
      </c>
      <c r="V84" s="44" t="e">
        <f>((1+(0.625*(E50+A84*10^-3*E54)*E52)/D84)^-1)</f>
        <v>#DIV/0!</v>
      </c>
      <c r="W84" s="44" t="e">
        <f>(5*E50*S84*E52^4)/(384*E15*10^3*(A84*10^-3)^3*0.08333)*10^3</f>
        <v>#DIV/0!</v>
      </c>
      <c r="X84" s="44" t="e">
        <f>(H84*E52^3)/(48*E15*10^3*(A84*10^-3)^3*0.08333)*10^3</f>
        <v>#DIV/0!</v>
      </c>
      <c r="Y84" s="45" t="e">
        <f t="shared" si="0"/>
        <v>#DIV/0!</v>
      </c>
    </row>
    <row r="85" spans="1:27" ht="13.8" x14ac:dyDescent="0.25">
      <c r="A85" s="55"/>
      <c r="B85" s="55"/>
      <c r="C85" s="59"/>
      <c r="D85" s="55"/>
      <c r="E85" s="59"/>
      <c r="F85" s="55"/>
      <c r="G85" s="59"/>
      <c r="H85" s="55"/>
      <c r="I85" s="59"/>
      <c r="J85" s="59"/>
      <c r="K85" s="59"/>
      <c r="L85" s="59"/>
      <c r="M85" s="59"/>
      <c r="N85" s="59"/>
      <c r="O85" s="59"/>
      <c r="P85" s="59"/>
      <c r="Q85" s="78" t="e">
        <f>(E58/(((E26+E33+E40)/A85)*((E58/(E70+0.0001)))+0.83*((E15/E58)^0.333)-((E26+E33+E40)/A85)))</f>
        <v>#DIV/0!</v>
      </c>
      <c r="R85" s="44" t="e">
        <f>(((E15*(A85^3))/(12*(10^-3)*P85)))^0.25</f>
        <v>#DIV/0!</v>
      </c>
      <c r="S85" s="44" t="e">
        <f>((E15*10^3*(A85*10^-3)^3*0.08333)/(T85+(E15*10^3*(A85*10^-3)^3*0.08333)))</f>
        <v>#DIV/0!</v>
      </c>
      <c r="T85" s="44" t="e">
        <f>(D85*E52^2*300)/(48*V85)</f>
        <v>#DIV/0!</v>
      </c>
      <c r="U85" s="44" t="e">
        <f>(S85*E50*E52^2*6)/(8*(A85*10^-3)^2)</f>
        <v>#DIV/0!</v>
      </c>
      <c r="V85" s="44" t="e">
        <f>((1+(0.625*(E50+A85*10^-3*E54)*E52)/D85)^-1)</f>
        <v>#DIV/0!</v>
      </c>
      <c r="W85" s="44" t="e">
        <f>(5*E50*S85*E52^4)/(384*E15*10^3*(A85*10^-3)^3*0.08333)*10^3</f>
        <v>#DIV/0!</v>
      </c>
      <c r="X85" s="44" t="e">
        <f>(H85*E52^3)/(48*E15*10^3*(A85*10^-3)^3*0.08333)*10^3</f>
        <v>#DIV/0!</v>
      </c>
      <c r="Y85" s="45" t="e">
        <f t="shared" si="0"/>
        <v>#DIV/0!</v>
      </c>
    </row>
    <row r="86" spans="1:27" ht="13.8" x14ac:dyDescent="0.25">
      <c r="A86" s="55"/>
      <c r="B86" s="55"/>
      <c r="C86" s="59"/>
      <c r="D86" s="55"/>
      <c r="E86" s="59"/>
      <c r="F86" s="55"/>
      <c r="G86" s="59"/>
      <c r="H86" s="55"/>
      <c r="I86" s="59"/>
      <c r="J86" s="59"/>
      <c r="K86" s="59"/>
      <c r="L86" s="59"/>
      <c r="M86" s="59"/>
      <c r="N86" s="59"/>
      <c r="O86" s="59"/>
      <c r="P86" s="59"/>
      <c r="Q86" s="78" t="e">
        <f>(E58/(((E26+E33+E40)/A86)*((E58/(E70+0.0001)))+0.83*((E15/E58)^0.333)-((E26+E33+E40)/A86)))</f>
        <v>#DIV/0!</v>
      </c>
      <c r="R86" s="44" t="e">
        <f>(((E15*(A86^3))/(12*(10^-3)*P86)))^0.25</f>
        <v>#DIV/0!</v>
      </c>
      <c r="S86" s="44" t="e">
        <f>((E15*10^3*(A86*10^-3)^3*0.08333)/(T86+(E15*10^3*(A86*10^-3)^3*0.08333)))</f>
        <v>#DIV/0!</v>
      </c>
      <c r="T86" s="44" t="e">
        <f>(D86*E52^2*300)/(48*V86)</f>
        <v>#DIV/0!</v>
      </c>
      <c r="U86" s="44" t="e">
        <f>(S86*E50*E52^2*6)/(8*(A86*10^-3)^2)</f>
        <v>#DIV/0!</v>
      </c>
      <c r="V86" s="44" t="e">
        <f>((1+(0.625*(E50+A86*10^-3*E54)*E52)/D86)^-1)</f>
        <v>#DIV/0!</v>
      </c>
      <c r="W86" s="44" t="e">
        <f>(5*E50*S86*E52^4)/(384*E15*10^3*(A86*10^-3)^3*0.08333)*10^3</f>
        <v>#DIV/0!</v>
      </c>
      <c r="X86" s="44" t="e">
        <f>(H86*E52^3)/(48*E15*10^3*(A86*10^-3)^3*0.08333)*10^3</f>
        <v>#DIV/0!</v>
      </c>
      <c r="Y86" s="45" t="e">
        <f t="shared" si="0"/>
        <v>#DIV/0!</v>
      </c>
    </row>
    <row r="87" spans="1:27" ht="13.8" x14ac:dyDescent="0.25">
      <c r="A87" s="55"/>
      <c r="B87" s="55"/>
      <c r="C87" s="59"/>
      <c r="D87" s="55"/>
      <c r="E87" s="59"/>
      <c r="F87" s="55"/>
      <c r="G87" s="59"/>
      <c r="H87" s="55"/>
      <c r="I87" s="59"/>
      <c r="J87" s="59"/>
      <c r="K87" s="59"/>
      <c r="L87" s="59"/>
      <c r="M87" s="59"/>
      <c r="N87" s="59"/>
      <c r="O87" s="59"/>
      <c r="P87" s="59"/>
      <c r="Q87" s="78" t="e">
        <f>(E58/(((E26+E33+E40)/A87)*((E58/(E70+0.0001)))+0.83*((E15/E58)^0.333)-((E27+E33+E40)/A87)))</f>
        <v>#DIV/0!</v>
      </c>
      <c r="R87" s="44" t="e">
        <f>(((E15*(A87^3))/(12*(10^-3)*P87)))^0.25</f>
        <v>#DIV/0!</v>
      </c>
      <c r="S87" s="44" t="e">
        <f>((E15*10^3*(A87*10^-3)^3*0.08333)/(T87+(E15*10^3*(A87*10^-3)^3*0.08333)))</f>
        <v>#DIV/0!</v>
      </c>
      <c r="T87" s="44" t="e">
        <f>(D87*E52^2*300)/(48*V87)</f>
        <v>#DIV/0!</v>
      </c>
      <c r="U87" s="44" t="e">
        <f>(S87*E50*E52^2*6)/(8*(A87*10^-3)^2)</f>
        <v>#DIV/0!</v>
      </c>
      <c r="V87" s="44" t="e">
        <f>((1+(0.625*(E50+A87*10^-3*E54)*E52)/D87)^-1)</f>
        <v>#DIV/0!</v>
      </c>
      <c r="W87" s="44" t="e">
        <f>(5*E50*S87*E52^4)/(384*E15*10^3*(A87*10^-3)^3*0.08333)*10^3</f>
        <v>#DIV/0!</v>
      </c>
      <c r="X87" s="44" t="e">
        <f>(H87*E52^3)/(48*E15*10^3*(A87*10^-3)^3*0.08333)*10^3</f>
        <v>#DIV/0!</v>
      </c>
      <c r="Y87" s="45" t="e">
        <f t="shared" si="0"/>
        <v>#DIV/0!</v>
      </c>
    </row>
    <row r="88" spans="1:27" ht="13.8" x14ac:dyDescent="0.25">
      <c r="A88" s="55"/>
      <c r="B88" s="55"/>
      <c r="C88" s="59"/>
      <c r="D88" s="55"/>
      <c r="E88" s="59"/>
      <c r="F88" s="55"/>
      <c r="G88" s="59"/>
      <c r="H88" s="55"/>
      <c r="I88" s="59"/>
      <c r="J88" s="59"/>
      <c r="K88" s="59"/>
      <c r="L88" s="59"/>
      <c r="M88" s="59"/>
      <c r="N88" s="59"/>
      <c r="O88" s="59"/>
      <c r="P88" s="59"/>
      <c r="Q88" s="78" t="e">
        <f>(E58/(((E26+E33+E40)/A88)*((E58/(E70+0.0001)))+0.83*((E15/E58)^0.333)-((E26+E33+E40)/A88)))</f>
        <v>#DIV/0!</v>
      </c>
      <c r="R88" s="44" t="e">
        <f>(((E15*(A88^3))/(12*(10^-3)*P88)))^0.25</f>
        <v>#DIV/0!</v>
      </c>
      <c r="S88" s="44" t="e">
        <f>((E15*10^3*(A88*10^-3)^3*0.08333)/(T88+(E15*10^3*(A88*10^-3)^3*0.08333)))</f>
        <v>#DIV/0!</v>
      </c>
      <c r="T88" s="44" t="e">
        <f>(D88*E52^2*300)/(48*V88)</f>
        <v>#DIV/0!</v>
      </c>
      <c r="U88" s="44" t="e">
        <f>(S88*E50*E52^2*6)/(8*(A88*10^-3)^2)</f>
        <v>#DIV/0!</v>
      </c>
      <c r="V88" s="44" t="e">
        <f>((1+(0.625*(E50+A88*10^-3*E54)*E52)/D88)^-1)</f>
        <v>#DIV/0!</v>
      </c>
      <c r="W88" s="44" t="e">
        <f>(5*E50*S88*E52^4)/(384*E15*10^3*(A88*10^-3)^3*0.08333)*10^3</f>
        <v>#DIV/0!</v>
      </c>
      <c r="X88" s="44" t="e">
        <f>(H88*E52^3)/(48*E15*10^3*(A88*10^-3)^3*0.08333)*10^3</f>
        <v>#DIV/0!</v>
      </c>
      <c r="Y88" s="45" t="e">
        <f t="shared" si="0"/>
        <v>#DIV/0!</v>
      </c>
      <c r="AA88" s="59"/>
    </row>
    <row r="89" spans="1:27" ht="13.8" x14ac:dyDescent="0.25">
      <c r="A89" s="55"/>
      <c r="B89" s="55"/>
      <c r="C89" s="59"/>
      <c r="D89" s="55"/>
      <c r="E89" s="59"/>
      <c r="F89" s="55"/>
      <c r="G89" s="59"/>
      <c r="H89" s="55"/>
      <c r="I89" s="59"/>
      <c r="J89" s="59"/>
      <c r="K89" s="59"/>
      <c r="L89" s="59"/>
      <c r="M89" s="59"/>
      <c r="N89" s="59"/>
      <c r="O89" s="59"/>
      <c r="P89" s="59"/>
      <c r="Q89" s="78" t="e">
        <f>(E58/(((E26+E33+E40)/A89)*((E58/(E70+0.0001)))+0.83*((E15/E58)^0.333)-((E26+E33+E40)/A89)))</f>
        <v>#DIV/0!</v>
      </c>
      <c r="R89" s="44" t="e">
        <f>(((E15*(A89^3))/(12*(10^-3)*P89)))^0.25</f>
        <v>#DIV/0!</v>
      </c>
      <c r="S89" s="44" t="e">
        <f>((E15*10^3*(A89*10^-3)^3*0.08333)/(T89+(E15*10^3*(A89*10^-3)^3*0.08333)))</f>
        <v>#DIV/0!</v>
      </c>
      <c r="T89" s="44" t="e">
        <f>(D89*E52^2*300)/(48*V89)</f>
        <v>#DIV/0!</v>
      </c>
      <c r="U89" s="44" t="e">
        <f>(S89*E50*E52^2*6)/(8*(A89*10^-3)^2)</f>
        <v>#DIV/0!</v>
      </c>
      <c r="V89" s="44" t="e">
        <f>((1+(0.625*(E50+A89*10^-3*E54)*E52)/D89)^-1)</f>
        <v>#DIV/0!</v>
      </c>
      <c r="W89" s="44" t="e">
        <f>(5*E50*S89*E52^4)/(384*E15*10^3*(A89*10^-3)^3*0.08333)*10^3</f>
        <v>#DIV/0!</v>
      </c>
      <c r="X89" s="44" t="e">
        <f>(H89*E52^3)/(48*E15*10^3*(A89*10^-3)^3*0.08333)*10^3</f>
        <v>#DIV/0!</v>
      </c>
      <c r="Y89" s="45" t="e">
        <f t="shared" si="0"/>
        <v>#DIV/0!</v>
      </c>
    </row>
    <row r="90" spans="1:27" ht="13.8" x14ac:dyDescent="0.25">
      <c r="A90" s="55"/>
      <c r="B90" s="55"/>
      <c r="C90" s="59"/>
      <c r="D90" s="55"/>
      <c r="E90" s="59"/>
      <c r="F90" s="55"/>
      <c r="G90" s="59"/>
      <c r="H90" s="55"/>
      <c r="I90" s="59"/>
      <c r="J90" s="59"/>
      <c r="K90" s="59"/>
      <c r="L90" s="59"/>
      <c r="M90" s="59"/>
      <c r="N90" s="59"/>
      <c r="O90" s="59"/>
      <c r="P90" s="59"/>
      <c r="Q90" s="78" t="e">
        <f>(E58/(((E26+E33+E40)/A90)*((E58/(E70+0.0001)))+0.83*((E15/E58)^0.333)-((E26+E33+E40)/A90)))</f>
        <v>#DIV/0!</v>
      </c>
      <c r="R90" s="44" t="e">
        <f>(((E15*(A90^3))/(12*(10^-3)*P90)))^0.25</f>
        <v>#DIV/0!</v>
      </c>
      <c r="S90" s="44" t="e">
        <f>((E15*10^3*(A90*10^-3)^3*0.08333)/(T90+(E15*10^3*(A90*10^-3)^3*0.08333)))</f>
        <v>#DIV/0!</v>
      </c>
      <c r="T90" s="44" t="e">
        <f>(D90*E52^2*300)/(48*V90)</f>
        <v>#DIV/0!</v>
      </c>
      <c r="U90" s="44" t="e">
        <f>(S90*E50*E52^2*6)/(8*(A90*10^-3)^2)</f>
        <v>#DIV/0!</v>
      </c>
      <c r="V90" s="44" t="e">
        <f>((1+(0.625*(E50+A90*10^-3*E54)*E52)/D90)^-1)</f>
        <v>#DIV/0!</v>
      </c>
      <c r="W90" s="44" t="e">
        <f>(5*E50*S90*E52^4)/(384*E15*10^3*(A90*10^-3)^3*0.08333)*10^3</f>
        <v>#DIV/0!</v>
      </c>
      <c r="X90" s="44" t="e">
        <f>(H90*E52^3)/(48*E15*10^3*(A90*10^-3)^3*0.08333)*10^3</f>
        <v>#DIV/0!</v>
      </c>
      <c r="Y90" s="45" t="e">
        <f t="shared" si="0"/>
        <v>#DIV/0!</v>
      </c>
    </row>
    <row r="91" spans="1:27" ht="13.8" x14ac:dyDescent="0.25">
      <c r="A91" s="55"/>
      <c r="B91" s="55"/>
      <c r="C91" s="59"/>
      <c r="D91" s="55"/>
      <c r="E91" s="59"/>
      <c r="F91" s="55"/>
      <c r="G91" s="59"/>
      <c r="H91" s="55"/>
      <c r="I91" s="59"/>
      <c r="J91" s="59"/>
      <c r="K91" s="59"/>
      <c r="L91" s="59"/>
      <c r="M91" s="59"/>
      <c r="N91" s="59"/>
      <c r="O91" s="59"/>
      <c r="P91" s="59"/>
      <c r="Q91" s="78" t="e">
        <f>(E58/(((E26+E33+E40)/A91)*((E58/(E70+0.0001)))+0.83*((E15/E58)^0.333)-((E26+E33+E40)/A91)))</f>
        <v>#DIV/0!</v>
      </c>
      <c r="R91" s="44" t="e">
        <f>(((E15*(A91^3))/(12*(10^-3)*P91)))^0.25</f>
        <v>#DIV/0!</v>
      </c>
      <c r="S91" s="44" t="e">
        <f>((E15*10^3*(A91*10^-3)^3*0.08333)/(T91+(E15*10^3*(A91*10^-3)^3*0.08333)))</f>
        <v>#DIV/0!</v>
      </c>
      <c r="T91" s="44" t="e">
        <f>(D91*E52^2*300)/(48*V91)</f>
        <v>#DIV/0!</v>
      </c>
      <c r="U91" s="44" t="e">
        <f>(S91*E50*E52^2*6)/(8*(A91*10^-3)^2)</f>
        <v>#DIV/0!</v>
      </c>
      <c r="V91" s="44" t="e">
        <f>((1+(0.625*(E50+A91*10^-3*E54)*E52)/D91)^-1)</f>
        <v>#DIV/0!</v>
      </c>
      <c r="W91" s="44" t="e">
        <f>(5*E50*S91*E52^4)/(384*E15*10^3*(A91*10^-3)^3*0.08333)*10^3</f>
        <v>#DIV/0!</v>
      </c>
      <c r="X91" s="44" t="e">
        <f>(H91*E52^3)/(48*E15*10^3*(A91*10^-3)^3*0.08333)*10^3</f>
        <v>#DIV/0!</v>
      </c>
      <c r="Y91" s="45" t="e">
        <f t="shared" si="0"/>
        <v>#DIV/0!</v>
      </c>
    </row>
    <row r="92" spans="1:27" ht="13.8" x14ac:dyDescent="0.25">
      <c r="A92" s="55"/>
      <c r="B92" s="55"/>
      <c r="C92" s="59"/>
      <c r="D92" s="55"/>
      <c r="E92" s="59"/>
      <c r="F92" s="55"/>
      <c r="G92" s="59"/>
      <c r="H92" s="55"/>
      <c r="I92" s="59"/>
      <c r="J92" s="59"/>
      <c r="K92" s="59"/>
      <c r="L92" s="59"/>
      <c r="M92" s="59"/>
      <c r="N92" s="59"/>
      <c r="O92" s="59"/>
      <c r="P92" s="59"/>
      <c r="Q92" s="78" t="e">
        <f>(E58/(((E26+E33+E40)/A92)*((E58/(E70+0.0001)))+0.83*((E15/E58)^0.333)-((E26+E33+E40)/A92)))</f>
        <v>#DIV/0!</v>
      </c>
      <c r="R92" s="44" t="e">
        <f>(((E15*(A92^3))/(12*(10^-3)*P92)))^0.25</f>
        <v>#DIV/0!</v>
      </c>
      <c r="S92" s="44" t="e">
        <f>((E15*10^3*(A92*10^-3)^3*0.08333)/(T92+(E15*10^3*(A92*10^-3)^3*0.08333)))</f>
        <v>#DIV/0!</v>
      </c>
      <c r="T92" s="44" t="e">
        <f>(D92*E52^2*300)/(48*V92)</f>
        <v>#DIV/0!</v>
      </c>
      <c r="U92" s="44" t="e">
        <f>(S92*E50*E52^2*6)/(8*(A92*10^-3)^2)</f>
        <v>#DIV/0!</v>
      </c>
      <c r="V92" s="44" t="e">
        <f>((1+(0.625*(E50+A92*10^-3*E54)*E52)/D92)^-1)</f>
        <v>#DIV/0!</v>
      </c>
      <c r="W92" s="44" t="e">
        <f>(5*E50*S92*E52^4)/(384*E15*10^3*(A92*10^-3)^3*0.08333)*10^3</f>
        <v>#DIV/0!</v>
      </c>
      <c r="X92" s="44" t="e">
        <f>(H92*E52^3)/(48*E15*10^3*(A92*10^-3)^3*0.08333)*10^3</f>
        <v>#DIV/0!</v>
      </c>
      <c r="Y92" s="45" t="e">
        <f t="shared" si="0"/>
        <v>#DIV/0!</v>
      </c>
    </row>
    <row r="93" spans="1:27" ht="13.8" x14ac:dyDescent="0.25">
      <c r="A93" s="55"/>
      <c r="B93" s="55"/>
      <c r="C93" s="59"/>
      <c r="D93" s="55"/>
      <c r="E93" s="59"/>
      <c r="F93" s="55"/>
      <c r="G93" s="59"/>
      <c r="H93" s="55"/>
      <c r="I93" s="59"/>
      <c r="J93" s="59"/>
      <c r="K93" s="59"/>
      <c r="L93" s="59"/>
      <c r="M93" s="59"/>
      <c r="N93" s="59"/>
      <c r="O93" s="59"/>
      <c r="P93" s="59"/>
      <c r="Q93" s="78" t="e">
        <f>(E58/(((E26+E33+E40)/A93)*((E58/(E70+0.0001)))+0.83*((E15/E58)^0.333)-((E26+E33+E40)/A93)))</f>
        <v>#DIV/0!</v>
      </c>
      <c r="R93" s="44" t="e">
        <f>(((E15*(A93^3))/(12*(10^-3)*P93)))^0.25</f>
        <v>#DIV/0!</v>
      </c>
      <c r="S93" s="44" t="e">
        <f>((E15*10^3*(A93*10^-3)^3*0.08333)/(T93+(E15*10^3*(A93*10^-3)^3*0.08333)))</f>
        <v>#DIV/0!</v>
      </c>
      <c r="T93" s="44" t="e">
        <f>(D93*E52^2*300)/(48*V93)</f>
        <v>#DIV/0!</v>
      </c>
      <c r="U93" s="44" t="e">
        <f>(S93*E50*E52^2*6)/(8*(A93*10^-3)^2)</f>
        <v>#DIV/0!</v>
      </c>
      <c r="V93" s="44" t="e">
        <f>((1+(0.625*(E50+A93*10^-3*E54)*E52)/D93)^-1)</f>
        <v>#DIV/0!</v>
      </c>
      <c r="W93" s="44" t="e">
        <f>(5*E50*S93*E52^4)/(384*E15*10^3*(A93*10^-3)^3*0.08333)*10^3</f>
        <v>#DIV/0!</v>
      </c>
      <c r="X93" s="44" t="e">
        <f>(H93*E52^3)/(48*E15*10^3*(A93*10^-3)^3*0.08333)*10^3</f>
        <v>#DIV/0!</v>
      </c>
      <c r="Y93" s="45" t="e">
        <f t="shared" si="0"/>
        <v>#DIV/0!</v>
      </c>
    </row>
    <row r="94" spans="1:27" ht="13.8" x14ac:dyDescent="0.25">
      <c r="A94" s="55"/>
      <c r="B94" s="55"/>
      <c r="C94" s="59"/>
      <c r="D94" s="55"/>
      <c r="E94" s="59"/>
      <c r="F94" s="55"/>
      <c r="G94" s="59"/>
      <c r="H94" s="55"/>
      <c r="I94" s="59"/>
      <c r="J94" s="59"/>
      <c r="K94" s="59"/>
      <c r="L94" s="59"/>
      <c r="M94" s="59"/>
      <c r="N94" s="59"/>
      <c r="O94" s="59"/>
      <c r="P94" s="59"/>
      <c r="Q94" s="78" t="e">
        <f>(E58/(((E26+E33+E40)/A94)*((E58/(E70+0.0001)))+0.83*((E15/E58)^0.333)-((E26+E33+E40)/A94)))</f>
        <v>#DIV/0!</v>
      </c>
      <c r="R94" s="44" t="e">
        <f>(((E15*(A94^3))/(12*(10^-3)*P94)))^0.25</f>
        <v>#DIV/0!</v>
      </c>
      <c r="S94" s="44" t="e">
        <f>((E15*10^3*(A94*10^-3)^3*0.08333)/(T94+(E15*10^3*(A94*10^-3)^3*0.08333)))</f>
        <v>#DIV/0!</v>
      </c>
      <c r="T94" s="44" t="e">
        <f>(D94*E52^2*300)/(48*V94)</f>
        <v>#DIV/0!</v>
      </c>
      <c r="U94" s="44" t="e">
        <f>(S94*E50*E52^2*6)/(8*(A94*10^-3)^2)</f>
        <v>#DIV/0!</v>
      </c>
      <c r="V94" s="44" t="e">
        <f>((1+(0.625*(E50+A94*10^-3*E54)*E52)/D94)^-1)</f>
        <v>#DIV/0!</v>
      </c>
      <c r="W94" s="44" t="e">
        <f>(5*E50*S94*E52^4)/(384*E15*10^3*(A94*10^-3)^3*0.08333)*10^3</f>
        <v>#DIV/0!</v>
      </c>
      <c r="X94" s="44" t="e">
        <f>(H94*E52^3)/(48*E15*10^3*(A94*10^-3)^3*0.08333)*10^3</f>
        <v>#DIV/0!</v>
      </c>
      <c r="Y94" s="45" t="e">
        <f t="shared" si="0"/>
        <v>#DIV/0!</v>
      </c>
    </row>
    <row r="95" spans="1:27" ht="13.8" x14ac:dyDescent="0.25">
      <c r="A95" s="55"/>
      <c r="B95" s="55"/>
      <c r="C95" s="59"/>
      <c r="D95" s="55"/>
      <c r="E95" s="59"/>
      <c r="F95" s="55"/>
      <c r="G95" s="59"/>
      <c r="H95" s="55"/>
      <c r="I95" s="59"/>
      <c r="J95" s="59"/>
      <c r="K95" s="59"/>
      <c r="L95" s="59"/>
      <c r="M95" s="59"/>
      <c r="N95" s="59"/>
      <c r="O95" s="59"/>
      <c r="P95" s="59"/>
      <c r="Q95" s="78" t="e">
        <f>(E58/(((E26+E33+E40)/A95)*((E58/(E70+0.0001)))+0.83*((E15/E58)^0.333)-((E26+E33+E40)/A95)))</f>
        <v>#DIV/0!</v>
      </c>
      <c r="R95" s="44" t="e">
        <f>(((E15*(A95^3))/(12*(10^-3)*P95)))^0.25</f>
        <v>#DIV/0!</v>
      </c>
      <c r="S95" s="44" t="e">
        <f>((E15*10^3*(A95*10^-3)^3*0.08333)/(T95+(E15*10^3*(A95*10^-3)^3*0.08333)))</f>
        <v>#DIV/0!</v>
      </c>
      <c r="T95" s="44" t="e">
        <f>(D95*E52^2*300)/(48*V95)</f>
        <v>#DIV/0!</v>
      </c>
      <c r="U95" s="44" t="e">
        <f>(S95*E50*E52^2*6)/(8*(A95*10^-3)^2)</f>
        <v>#DIV/0!</v>
      </c>
      <c r="V95" s="44" t="e">
        <f>((1+(0.625*(E50+A95*10^-3*E54)*E52)/D95)^-1)</f>
        <v>#DIV/0!</v>
      </c>
      <c r="W95" s="44" t="e">
        <f>(5*E50*S95*E52^4)/(384*E15*10^3*(A95*10^-3)^3*0.08333)*10^3</f>
        <v>#DIV/0!</v>
      </c>
      <c r="X95" s="44" t="e">
        <f>(H95*E52^3)/(48*E15*10^3*(A95*10^-3)^3*0.08333)*10^3</f>
        <v>#DIV/0!</v>
      </c>
      <c r="Y95" s="45" t="e">
        <f t="shared" si="0"/>
        <v>#DIV/0!</v>
      </c>
    </row>
    <row r="96" spans="1:27" ht="13.8" x14ac:dyDescent="0.25">
      <c r="A96" s="55"/>
      <c r="B96" s="55"/>
      <c r="C96" s="59"/>
      <c r="D96" s="55"/>
      <c r="E96" s="59"/>
      <c r="F96" s="55"/>
      <c r="G96" s="59"/>
      <c r="H96" s="55"/>
      <c r="I96" s="59"/>
      <c r="J96" s="59"/>
      <c r="K96" s="59"/>
      <c r="L96" s="59"/>
      <c r="M96" s="59"/>
      <c r="N96" s="59"/>
      <c r="O96" s="59"/>
      <c r="P96" s="59"/>
      <c r="Q96" s="78" t="e">
        <f>(E58/(((E26+E33+E40)/A96)*((E58/(E70+0.0001)))+0.83*((E15/E58)^0.333)-((E26+E33+E40)/A96)))</f>
        <v>#DIV/0!</v>
      </c>
      <c r="R96" s="44" t="e">
        <f>(((E15*(A96^3))/(12*(10^-3)*P96)))^0.25</f>
        <v>#DIV/0!</v>
      </c>
      <c r="S96" s="44" t="e">
        <f>((E15*10^3*(A96*10^-3)^3*0.08333)/(T96+(E15*10^3*(A96*10^-3)^3*0.08333)))</f>
        <v>#DIV/0!</v>
      </c>
      <c r="T96" s="44" t="e">
        <f>(D96*E52^2*300)/(48*V96)</f>
        <v>#DIV/0!</v>
      </c>
      <c r="U96" s="44" t="e">
        <f>(S96*E50*E52^2*6)/(8*(A96*10^-3)^2)</f>
        <v>#DIV/0!</v>
      </c>
      <c r="V96" s="44" t="e">
        <f>((1+(0.625*(E50+A96*10^-3*E54)*E52)/D96)^-1)</f>
        <v>#DIV/0!</v>
      </c>
      <c r="W96" s="44" t="e">
        <f>(5*E50*S96*E52^4)/(384*E15*10^3*(A96*10^-3)^3*0.08333)*10^3</f>
        <v>#DIV/0!</v>
      </c>
      <c r="X96" s="44" t="e">
        <f>(H96*E52^3)/(48*E15*10^3*(A96*10^-3)^3*0.08333)*10^3</f>
        <v>#DIV/0!</v>
      </c>
      <c r="Y96" s="45" t="e">
        <f t="shared" si="0"/>
        <v>#DIV/0!</v>
      </c>
    </row>
    <row r="97" spans="1:25" ht="14.4" thickBot="1" x14ac:dyDescent="0.3">
      <c r="A97" s="55"/>
      <c r="B97" s="55"/>
      <c r="C97" s="59"/>
      <c r="D97" s="55"/>
      <c r="E97" s="59"/>
      <c r="F97" s="55"/>
      <c r="G97" s="59"/>
      <c r="H97" s="55"/>
      <c r="I97" s="59"/>
      <c r="J97" s="59"/>
      <c r="K97" s="59"/>
      <c r="L97" s="59"/>
      <c r="M97" s="59"/>
      <c r="N97" s="59"/>
      <c r="O97" s="59"/>
      <c r="P97" s="59"/>
      <c r="Q97" s="78" t="e">
        <f>(E58/(((E26+E33+E40)/A97)*((E58/(E70+0.0001)))+0.83*((E15/E58)^0.333)-((E26+E33+E40)/A97)))</f>
        <v>#DIV/0!</v>
      </c>
      <c r="R97" s="44" t="e">
        <f>(((E15*(A97^3))/(12*(10^-3)*P97)))^0.25</f>
        <v>#DIV/0!</v>
      </c>
      <c r="S97" s="44" t="e">
        <f>((E15*10^3*(A97*10^-3)^3*0.08333)/(T97+(E15*10^3*(A97*10^-3)^3*0.08333)))</f>
        <v>#DIV/0!</v>
      </c>
      <c r="T97" s="44" t="e">
        <f>(D97*E52^2*300)/(48*V97)</f>
        <v>#DIV/0!</v>
      </c>
      <c r="U97" s="44" t="e">
        <f>(S97*E50*E52^2*6)/(8*(A97*10^-3)^2)</f>
        <v>#DIV/0!</v>
      </c>
      <c r="V97" s="44" t="e">
        <f>((1+(0.625*(E50+A97*10^-3*E54)*E52)/D97)^-1)</f>
        <v>#DIV/0!</v>
      </c>
      <c r="W97" s="44" t="e">
        <f>(5*E50*S97*E52^4)/(384*E15*10^3*(A97*10^-3)^3*0.08333)*10^3</f>
        <v>#DIV/0!</v>
      </c>
      <c r="X97" s="44" t="e">
        <f>(H97*E52^3)/(48*E15*10^3*(A97*10^-3)^3*0.08333)*10^3</f>
        <v>#DIV/0!</v>
      </c>
      <c r="Y97" s="45" t="e">
        <f t="shared" si="0"/>
        <v>#DIV/0!</v>
      </c>
    </row>
    <row r="98" spans="1:25" ht="13.8" x14ac:dyDescent="0.25">
      <c r="A98" s="55"/>
      <c r="B98" s="55"/>
      <c r="C98" s="59"/>
      <c r="D98" s="55"/>
      <c r="E98" s="59"/>
      <c r="F98" s="55"/>
      <c r="G98" s="59"/>
      <c r="H98" s="55"/>
      <c r="I98" s="59"/>
      <c r="J98" s="59"/>
      <c r="K98" s="59"/>
      <c r="L98" s="59"/>
      <c r="M98" s="59"/>
      <c r="N98" s="59"/>
      <c r="O98" s="59"/>
      <c r="P98" s="59"/>
      <c r="Q98" s="79" t="e">
        <f>(E58/(((E26+E33+E40)/A98)*((E58/(E70+0.0001)))+0.83*((E15/E58)^0.333)-((E26+E33+E40)/A98)))</f>
        <v>#DIV/0!</v>
      </c>
      <c r="R98" s="58" t="e">
        <f>(((E15*(A98^3))/(12*(10^-3)*P98)))^0.25</f>
        <v>#DIV/0!</v>
      </c>
      <c r="S98" s="58" t="e">
        <f>((E15*10^3*(A98*10^-3)^3*0.08333)/(T98+(E15*10^3*(A98*10^-3)^3*0.08333)))</f>
        <v>#DIV/0!</v>
      </c>
      <c r="T98" s="58" t="e">
        <f>(D98*E52^2*300)/(48*V98)</f>
        <v>#DIV/0!</v>
      </c>
      <c r="U98" s="58" t="e">
        <f>(S98*E50*E52^2*6)/(8*(A98*10^-3)^2)</f>
        <v>#DIV/0!</v>
      </c>
      <c r="V98" s="58" t="e">
        <f>((1+(0.625*(E50+A98*10^-3*E54)*E52)/D98)^-1)</f>
        <v>#DIV/0!</v>
      </c>
      <c r="W98" s="58" t="e">
        <f>(5*E50*S98*E52^4)/(384*E15*10^3*(A98*10^-3)^3*0.08333)*10^3</f>
        <v>#DIV/0!</v>
      </c>
      <c r="X98" s="58" t="e">
        <f>(H98*E52^3)/(48*E15*10^3*(A98*10^-3)^3*0.08333)*10^3</f>
        <v>#DIV/0!</v>
      </c>
      <c r="Y98" s="60" t="e">
        <f t="shared" si="0"/>
        <v>#DIV/0!</v>
      </c>
    </row>
    <row r="99" spans="1:25" ht="13.8" x14ac:dyDescent="0.25">
      <c r="A99" s="55"/>
      <c r="B99" s="55"/>
      <c r="C99" s="59"/>
      <c r="D99" s="55"/>
      <c r="E99" s="59"/>
      <c r="F99" s="55"/>
      <c r="G99" s="59"/>
      <c r="H99" s="55"/>
      <c r="I99" s="59"/>
      <c r="J99" s="59"/>
      <c r="K99" s="59"/>
      <c r="L99" s="59"/>
      <c r="M99" s="59"/>
      <c r="N99" s="59"/>
      <c r="O99" s="59"/>
      <c r="P99" s="59"/>
      <c r="Q99" s="78" t="e">
        <f>(E58/(((E26+E33+E40)/A99)*((E58/(E70+0.0001)))+0.83*((E15/E58)^0.333)-((E26+E33+E40)/A99)))</f>
        <v>#DIV/0!</v>
      </c>
      <c r="R99" s="44" t="e">
        <f>(((E15*(A99^3))/(12*(10^-3)*P99)))^0.25</f>
        <v>#DIV/0!</v>
      </c>
      <c r="S99" s="44" t="e">
        <f>((E15*10^3*(A99*10^-3)^3*0.08333)/(T99+(E15*10^3*(A99*10^-3)^3*0.08333)))</f>
        <v>#DIV/0!</v>
      </c>
      <c r="T99" s="44" t="e">
        <f>(D99*E52^2*300)/(48*V99)</f>
        <v>#DIV/0!</v>
      </c>
      <c r="U99" s="44" t="e">
        <f>(S99*E50*E52^2*6)/(8*(A99*10^-3)^2)</f>
        <v>#DIV/0!</v>
      </c>
      <c r="V99" s="44" t="e">
        <f>((1+(0.625*(E50+A99*10^-3*E54)*E52)/D99)^-1)</f>
        <v>#DIV/0!</v>
      </c>
      <c r="W99" s="44" t="e">
        <f>(5*E50*S99*E52^4)/(384*E15*10^3*(A99*10^-3)^3*0.08333)*10^3</f>
        <v>#DIV/0!</v>
      </c>
      <c r="X99" s="44" t="e">
        <f>(H99*E52^3)/(48*E15*10^3*(A99*10^-3)^3*0.08333)*10^3</f>
        <v>#DIV/0!</v>
      </c>
      <c r="Y99" s="45" t="e">
        <f t="shared" si="0"/>
        <v>#DIV/0!</v>
      </c>
    </row>
    <row r="100" spans="1:25" ht="13.8" x14ac:dyDescent="0.25">
      <c r="A100" s="55"/>
      <c r="B100" s="55"/>
      <c r="C100" s="59"/>
      <c r="D100" s="55"/>
      <c r="E100" s="59"/>
      <c r="F100" s="55"/>
      <c r="G100" s="59"/>
      <c r="H100" s="55"/>
      <c r="I100" s="59"/>
      <c r="J100" s="59"/>
      <c r="K100" s="59"/>
      <c r="L100" s="59"/>
      <c r="M100" s="59"/>
      <c r="N100" s="59"/>
      <c r="O100" s="59"/>
      <c r="P100" s="59"/>
      <c r="Q100" s="78" t="e">
        <f>(E58/(((E26+E33+E40)/A100)*((E58/(E70+0.0001)))+0.83*((E15/E58)^0.333)-((E26+E33+E40)/A100)))</f>
        <v>#DIV/0!</v>
      </c>
      <c r="R100" s="44" t="e">
        <f>(((E15*(A100^3))/(12*(10^-3)*P100)))^0.25</f>
        <v>#DIV/0!</v>
      </c>
      <c r="S100" s="44" t="e">
        <f>((E15*10^3*(A100*10^-3)^3*0.08333)/(T100+(E15*10^3*(A100*10^-3)^3*0.08333)))</f>
        <v>#DIV/0!</v>
      </c>
      <c r="T100" s="44" t="e">
        <f>(D100*E52^2*300)/(48*V100)</f>
        <v>#DIV/0!</v>
      </c>
      <c r="U100" s="44" t="e">
        <f>(S100*E50*E52^2*6)/(8*(A100*10^-3)^2)</f>
        <v>#DIV/0!</v>
      </c>
      <c r="V100" s="44" t="e">
        <f>((1+(0.625*(E50+A100*10^-3*E54)*E52)/D100)^-1)</f>
        <v>#DIV/0!</v>
      </c>
      <c r="W100" s="44" t="e">
        <f>(5*E50*S100*E52^4)/(384*E15*10^3*(A100*10^-3)^3*0.08333)*10^3</f>
        <v>#DIV/0!</v>
      </c>
      <c r="X100" s="44" t="e">
        <f>(H100*E52^3)/(48*E15*10^3*(A100*10^-3)^3*0.08333)*10^3</f>
        <v>#DIV/0!</v>
      </c>
      <c r="Y100" s="45" t="e">
        <f t="shared" si="0"/>
        <v>#DIV/0!</v>
      </c>
    </row>
    <row r="101" spans="1:25" ht="13.8" x14ac:dyDescent="0.25">
      <c r="A101" s="55"/>
      <c r="B101" s="55"/>
      <c r="C101" s="59"/>
      <c r="D101" s="55"/>
      <c r="E101" s="59"/>
      <c r="F101" s="55"/>
      <c r="G101" s="59"/>
      <c r="H101" s="55"/>
      <c r="I101" s="59"/>
      <c r="J101" s="59"/>
      <c r="K101" s="59"/>
      <c r="L101" s="59"/>
      <c r="M101" s="59"/>
      <c r="N101" s="59"/>
      <c r="O101" s="59"/>
      <c r="P101" s="59"/>
      <c r="Q101" s="78" t="e">
        <f>(E58/(((E26+E33+E40)/A101)*((E58/(E70+0.0001)))+0.83*((E15/E58)^0.333)-((E26+E33+E40)/A101)))</f>
        <v>#DIV/0!</v>
      </c>
      <c r="R101" s="44" t="e">
        <f>(((E15*(A101^3))/(12*(10^-3)*P101)))^0.25</f>
        <v>#DIV/0!</v>
      </c>
      <c r="S101" s="44" t="e">
        <f>((E15*10^3*(A101*10^-3)^3*0.08333)/(T101+(E15*10^3*(A101*10^-3)^3*0.08333)))</f>
        <v>#DIV/0!</v>
      </c>
      <c r="T101" s="44" t="e">
        <f>(D101*E52^2*300)/(48*V101)</f>
        <v>#DIV/0!</v>
      </c>
      <c r="U101" s="44" t="e">
        <f>(S101*E50*E52^2*6)/(8*(A101*10^-3)^2)</f>
        <v>#DIV/0!</v>
      </c>
      <c r="V101" s="44" t="e">
        <f>((1+(0.625*(E50+A101*10^-3*E54)*E52)/D101)^-1)</f>
        <v>#DIV/0!</v>
      </c>
      <c r="W101" s="44" t="e">
        <f>(5*E50*S101*E52^4)/(384*E15*10^3*(A101*10^-3)^3*0.08333)*10^3</f>
        <v>#DIV/0!</v>
      </c>
      <c r="X101" s="44" t="e">
        <f>(H101*E52^3)/(48*E15*10^3*(A101*10^-3)^3*0.08333)*10^3</f>
        <v>#DIV/0!</v>
      </c>
      <c r="Y101" s="45" t="e">
        <f t="shared" si="0"/>
        <v>#DIV/0!</v>
      </c>
    </row>
    <row r="102" spans="1:25" ht="13.8" x14ac:dyDescent="0.25">
      <c r="A102" s="55"/>
      <c r="B102" s="55"/>
      <c r="C102" s="59"/>
      <c r="D102" s="55"/>
      <c r="E102" s="59"/>
      <c r="F102" s="55"/>
      <c r="G102" s="59"/>
      <c r="H102" s="55"/>
      <c r="I102" s="59"/>
      <c r="J102" s="59"/>
      <c r="K102" s="59"/>
      <c r="L102" s="59"/>
      <c r="M102" s="59"/>
      <c r="N102" s="59"/>
      <c r="O102" s="59"/>
      <c r="P102" s="59"/>
      <c r="Q102" s="78" t="e">
        <f>(E58/(((E26+E33+E40)/A102)*((E58/(E70+0.0001)))+0.83*((E15/E58)^0.333)-((E26+E33+E40)/A102)))</f>
        <v>#DIV/0!</v>
      </c>
      <c r="R102" s="44" t="e">
        <f>(((E15*(A102^3))/(12*(10^-3)*P102)))^0.25</f>
        <v>#DIV/0!</v>
      </c>
      <c r="S102" s="44" t="e">
        <f>((E15*10^3*(A102*10^-3)^3*0.08333)/(T102+(E15*10^3*(A102*10^-3)^3*0.08333)))</f>
        <v>#DIV/0!</v>
      </c>
      <c r="T102" s="44" t="e">
        <f>(D102*E52^2*300)/(48*V102)</f>
        <v>#DIV/0!</v>
      </c>
      <c r="U102" s="44" t="e">
        <f>(S102*E50*E52^2*6)/(8*(A102*10^-3)^2)</f>
        <v>#DIV/0!</v>
      </c>
      <c r="V102" s="44" t="e">
        <f>((1+(0.625*(E50+A102*10^-3*E54)*E52)/D102)^-1)</f>
        <v>#DIV/0!</v>
      </c>
      <c r="W102" s="44" t="e">
        <f>(5*E50*S102*E52^4)/(384*E15*10^3*(A102*10^-3)^3*0.08333)*10^3</f>
        <v>#DIV/0!</v>
      </c>
      <c r="X102" s="44" t="e">
        <f>(H102*E52^3)/(48*E15*10^3*(A102*10^-3)^3*0.08333)*10^3</f>
        <v>#DIV/0!</v>
      </c>
      <c r="Y102" s="45" t="e">
        <f t="shared" si="0"/>
        <v>#DIV/0!</v>
      </c>
    </row>
    <row r="103" spans="1:25" ht="13.8" x14ac:dyDescent="0.25">
      <c r="A103" s="55"/>
      <c r="B103" s="55"/>
      <c r="C103" s="59"/>
      <c r="D103" s="55"/>
      <c r="E103" s="59"/>
      <c r="F103" s="55"/>
      <c r="G103" s="59"/>
      <c r="H103" s="55"/>
      <c r="I103" s="59"/>
      <c r="J103" s="59"/>
      <c r="K103" s="59"/>
      <c r="L103" s="59"/>
      <c r="M103" s="59"/>
      <c r="N103" s="59"/>
      <c r="O103" s="59"/>
      <c r="P103" s="59"/>
      <c r="Q103" s="78" t="e">
        <f>(E58/(((E26+E33+E40)/A103)*((E58/(E70+0.0001)))+0.83*((E15/E58)^0.333)-((E26+E33+E40)/A103)))</f>
        <v>#DIV/0!</v>
      </c>
      <c r="R103" s="44" t="e">
        <f>(((E15*(A103^3))/(12*(10^-3)*P103)))^0.25</f>
        <v>#DIV/0!</v>
      </c>
      <c r="S103" s="44" t="e">
        <f>((E15*10^3*(A103*10^-3)^3*0.08333)/(T103+(E15*10^3*(A103*10^-3)^3*0.08333)))</f>
        <v>#DIV/0!</v>
      </c>
      <c r="T103" s="44" t="e">
        <f>(D103*E52^2*300)/(48*V103)</f>
        <v>#DIV/0!</v>
      </c>
      <c r="U103" s="44" t="e">
        <f>(S103*E50*E52^2*6)/(8*(A103*10^-3)^2)</f>
        <v>#DIV/0!</v>
      </c>
      <c r="V103" s="44" t="e">
        <f>((1+(0.625*(E50+A103*10^-3*E54)*E52)/D103)^-1)</f>
        <v>#DIV/0!</v>
      </c>
      <c r="W103" s="44" t="e">
        <f>(5*E50*S103*E52^4)/(384*E15*10^3*(A103*10^-3)^3*0.08333)*10^3</f>
        <v>#DIV/0!</v>
      </c>
      <c r="X103" s="44" t="e">
        <f>(H103*E52^3)/(48*E15*10^3*(A103*10^-3)^3*0.08333)*10^3</f>
        <v>#DIV/0!</v>
      </c>
      <c r="Y103" s="45" t="e">
        <f t="shared" si="0"/>
        <v>#DIV/0!</v>
      </c>
    </row>
    <row r="104" spans="1:25" ht="13.8" x14ac:dyDescent="0.25">
      <c r="A104" s="55"/>
      <c r="B104" s="55"/>
      <c r="C104" s="59"/>
      <c r="D104" s="55"/>
      <c r="E104" s="59"/>
      <c r="F104" s="55"/>
      <c r="G104" s="59"/>
      <c r="H104" s="55"/>
      <c r="I104" s="59"/>
      <c r="J104" s="59"/>
      <c r="K104" s="59"/>
      <c r="L104" s="59"/>
      <c r="M104" s="59"/>
      <c r="N104" s="59"/>
      <c r="O104" s="59"/>
      <c r="P104" s="59"/>
      <c r="Q104" s="78" t="e">
        <f>(E58/(((E26+E33+E40)/A104)*((E58/(E70+0.0001)))+0.83*((E15/E58)^0.333)-((E26+E33+E40)/A104)))</f>
        <v>#DIV/0!</v>
      </c>
      <c r="R104" s="44" t="e">
        <f>(((E15*(A104^3))/(12*(10^-3)*P104)))^0.25</f>
        <v>#DIV/0!</v>
      </c>
      <c r="S104" s="44" t="e">
        <f>((E15*10^3*(A104*10^-3)^3*0.08333)/(T104+(E15*10^3*(A104*10^-3)^3*0.08333)))</f>
        <v>#DIV/0!</v>
      </c>
      <c r="T104" s="44" t="e">
        <f>(D104*E52^2*300)/(48*V104)</f>
        <v>#DIV/0!</v>
      </c>
      <c r="U104" s="44" t="e">
        <f>(S104*E50*E52^2*6)/(8*(A104*10^-3)^2)</f>
        <v>#DIV/0!</v>
      </c>
      <c r="V104" s="44" t="e">
        <f>((1+(0.625*(E50+A104*10^-3*E54)*E52)/D104)^-1)</f>
        <v>#DIV/0!</v>
      </c>
      <c r="W104" s="44" t="e">
        <f>(5*E50*S104*E52^4)/(384*E15*10^3*(A104*10^-3)^3*0.08333)*10^3</f>
        <v>#DIV/0!</v>
      </c>
      <c r="X104" s="44" t="e">
        <f>(H104*E52^3)/(48*E15*10^3*(A104*10^-3)^3*0.08333)*10^3</f>
        <v>#DIV/0!</v>
      </c>
      <c r="Y104" s="45" t="e">
        <f t="shared" si="0"/>
        <v>#DIV/0!</v>
      </c>
    </row>
    <row r="105" spans="1:25" ht="14.4" thickBot="1" x14ac:dyDescent="0.3">
      <c r="A105" s="55"/>
      <c r="B105" s="55"/>
      <c r="C105" s="59"/>
      <c r="D105" s="55"/>
      <c r="E105" s="59"/>
      <c r="F105" s="55"/>
      <c r="G105" s="59"/>
      <c r="H105" s="55"/>
      <c r="I105" s="59"/>
      <c r="J105" s="59"/>
      <c r="K105" s="59"/>
      <c r="L105" s="59"/>
      <c r="M105" s="59"/>
      <c r="N105" s="59"/>
      <c r="O105" s="59"/>
      <c r="P105" s="59"/>
      <c r="Q105" s="78" t="e">
        <f>(E58/(((E26+E33+E40)/A105)*((E58/(E70+0.0001)))+0.83*((E15/E58)^0.333)-((E26+E33+E40)/A105)))</f>
        <v>#DIV/0!</v>
      </c>
      <c r="R105" s="46" t="e">
        <f>(((E15*(A105^3))/(12*(10^-3)*P105)))^0.25</f>
        <v>#DIV/0!</v>
      </c>
      <c r="S105" s="46" t="e">
        <f>((E15*10^3*(A105*10^-3)^3*0.08333)/(T105+(E15*10^3*(A105*10^-3)^3*0.08333)))</f>
        <v>#DIV/0!</v>
      </c>
      <c r="T105" s="46" t="e">
        <f>(D105*E52^2*300)/(48*V105)</f>
        <v>#DIV/0!</v>
      </c>
      <c r="U105" s="44" t="e">
        <f>(S105*E50*E52^2*6)/(8*(A105*10^-3)^2)</f>
        <v>#DIV/0!</v>
      </c>
      <c r="V105" s="46" t="e">
        <f>((1+(0.625*(E50+A105*10^-3*E54)*E52)/D105)^-1)</f>
        <v>#DIV/0!</v>
      </c>
      <c r="W105" s="46" t="e">
        <f>(5*E50*S105*E52^4)/(384*E15*10^3*(A105*10^-3)^3*0.08333)*10^3</f>
        <v>#DIV/0!</v>
      </c>
      <c r="X105" s="46" t="e">
        <f>(H105*E52^3)/(48*E15*10^3*(A105*10^-3)^3*0.08333)*10^3</f>
        <v>#DIV/0!</v>
      </c>
      <c r="Y105" s="47" t="e">
        <f>(H105/D105)*E105</f>
        <v>#DIV/0!</v>
      </c>
    </row>
    <row r="106" spans="1:25" ht="13.8" thickTop="1" x14ac:dyDescent="0.25">
      <c r="A106" s="99"/>
      <c r="B106" s="34"/>
      <c r="C106" s="34"/>
      <c r="D106" s="34"/>
      <c r="E106" s="34"/>
      <c r="F106" s="34"/>
      <c r="G106" s="28"/>
      <c r="H106" s="100"/>
      <c r="I106" s="100"/>
      <c r="J106" s="100"/>
      <c r="K106" s="34"/>
      <c r="L106" s="34"/>
      <c r="M106" s="34"/>
      <c r="N106" s="34"/>
      <c r="O106" s="4"/>
      <c r="P106" s="101"/>
      <c r="Q106" s="49"/>
      <c r="R106" s="49"/>
      <c r="U106" s="50" t="e">
        <f>(V106+W106*X106)^1</f>
        <v>#DIV/0!</v>
      </c>
      <c r="V106" s="52">
        <f>(E56/31416)</f>
        <v>0</v>
      </c>
      <c r="W106" s="52">
        <f>((31416-E56)/31416)</f>
        <v>1</v>
      </c>
      <c r="X106" s="52" t="e">
        <f>(1-((4*(100^3-0.1795*Z80^1.5))/(2*9*Y106*(100^2-0.318*Z80))))^2</f>
        <v>#DIV/0!</v>
      </c>
      <c r="Y106" s="52" t="e">
        <f>((E15*A80^3)/(12*P80*10^-3))^0.25</f>
        <v>#DIV/0!</v>
      </c>
    </row>
    <row r="107" spans="1:25" x14ac:dyDescent="0.25">
      <c r="A107" s="37"/>
      <c r="B107" s="4"/>
      <c r="C107" s="4"/>
      <c r="D107" s="4"/>
      <c r="E107" s="4"/>
      <c r="F107" s="4"/>
      <c r="G107" s="4"/>
      <c r="H107" s="102"/>
      <c r="I107" s="102"/>
      <c r="J107" s="102"/>
      <c r="K107" s="4"/>
      <c r="L107" s="4"/>
      <c r="M107" s="4"/>
      <c r="N107" s="4"/>
      <c r="O107" s="4"/>
      <c r="P107" s="4"/>
      <c r="Q107" s="1"/>
      <c r="R107" s="1"/>
      <c r="S107" s="13"/>
      <c r="U107" s="51"/>
      <c r="V107" s="51"/>
      <c r="W107" s="51"/>
      <c r="X107" s="51"/>
      <c r="Y107" s="51"/>
    </row>
    <row r="108" spans="1:25" ht="13.8" x14ac:dyDescent="0.25">
      <c r="A108" s="103"/>
      <c r="B108" s="80"/>
      <c r="C108" s="80"/>
      <c r="D108" s="80"/>
      <c r="E108" s="8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"/>
    </row>
    <row r="109" spans="1:25" ht="13.8" x14ac:dyDescent="0.25">
      <c r="A109" s="37"/>
      <c r="B109" s="8"/>
      <c r="C109" s="4"/>
      <c r="D109" s="4"/>
      <c r="E109" s="4"/>
      <c r="F109" s="4"/>
      <c r="G109" s="4"/>
      <c r="H109" s="4"/>
      <c r="I109" s="4"/>
      <c r="J109" s="8"/>
      <c r="K109" s="4"/>
      <c r="L109" s="4"/>
      <c r="M109" s="4"/>
      <c r="N109" s="4"/>
      <c r="O109" s="4"/>
      <c r="P109" s="4"/>
      <c r="Q109" s="1"/>
      <c r="U109" s="1"/>
      <c r="V109" s="3"/>
      <c r="W109" s="3"/>
      <c r="X109" s="3"/>
    </row>
    <row r="110" spans="1:25" ht="13.8" x14ac:dyDescent="0.25">
      <c r="A110" s="8"/>
      <c r="B110" s="8"/>
      <c r="C110" s="55"/>
      <c r="D110" s="55"/>
      <c r="E110" s="4"/>
      <c r="F110" s="4"/>
      <c r="G110" s="28"/>
      <c r="H110" s="4"/>
      <c r="I110" s="4"/>
      <c r="J110" s="8"/>
      <c r="K110" s="8"/>
      <c r="L110" s="8"/>
      <c r="M110" s="8"/>
      <c r="N110" s="27"/>
      <c r="O110" s="28"/>
      <c r="P110" s="4"/>
      <c r="Q110" s="1"/>
    </row>
    <row r="111" spans="1:25" x14ac:dyDescent="0.25">
      <c r="A111" s="4"/>
      <c r="B111" s="28"/>
      <c r="C111" s="28"/>
      <c r="D111" s="28"/>
      <c r="E111" s="4"/>
      <c r="F111" s="4"/>
      <c r="G111" s="28"/>
      <c r="H111" s="4"/>
      <c r="I111" s="4"/>
      <c r="J111" s="4"/>
      <c r="K111" s="28"/>
      <c r="L111" s="4"/>
      <c r="M111" s="28"/>
      <c r="N111" s="28"/>
      <c r="O111" s="28"/>
      <c r="P111" s="4"/>
      <c r="Q111" s="1"/>
    </row>
    <row r="112" spans="1:25" x14ac:dyDescent="0.25">
      <c r="A112" s="28"/>
      <c r="B112" s="28"/>
      <c r="C112" s="28"/>
      <c r="D112" s="28"/>
      <c r="E112" s="4"/>
      <c r="F112" s="28"/>
      <c r="G112" s="28"/>
      <c r="H112" s="4"/>
      <c r="I112" s="4"/>
      <c r="J112" s="28"/>
      <c r="K112" s="28"/>
      <c r="L112" s="28"/>
      <c r="M112" s="28"/>
      <c r="N112" s="28"/>
      <c r="O112" s="28"/>
      <c r="P112" s="4"/>
      <c r="Q112" s="1"/>
    </row>
    <row r="113" spans="1:17" x14ac:dyDescent="0.25">
      <c r="A113" s="29"/>
      <c r="B113" s="28"/>
      <c r="C113" s="28"/>
      <c r="D113" s="28"/>
      <c r="E113" s="4"/>
      <c r="F113" s="28"/>
      <c r="G113" s="4"/>
      <c r="H113" s="4"/>
      <c r="I113" s="4"/>
      <c r="J113" s="28"/>
      <c r="K113" s="28"/>
      <c r="L113" s="28"/>
      <c r="M113" s="28"/>
      <c r="N113" s="4"/>
      <c r="O113" s="4"/>
      <c r="P113" s="4"/>
      <c r="Q113" s="1"/>
    </row>
    <row r="114" spans="1:17" x14ac:dyDescent="0.25">
      <c r="A114" s="29"/>
      <c r="B114" s="28"/>
      <c r="C114" s="28"/>
      <c r="D114" s="28"/>
      <c r="E114" s="4"/>
      <c r="F114" s="28"/>
      <c r="G114" s="28"/>
      <c r="H114" s="4"/>
      <c r="I114" s="4"/>
      <c r="J114" s="28"/>
      <c r="K114" s="28"/>
      <c r="L114" s="28"/>
      <c r="M114" s="28"/>
      <c r="N114" s="28"/>
      <c r="O114" s="28"/>
      <c r="P114" s="4"/>
      <c r="Q114" s="1"/>
    </row>
    <row r="115" spans="1:17" x14ac:dyDescent="0.25">
      <c r="A115" s="29"/>
      <c r="B115" s="28"/>
      <c r="C115" s="28"/>
      <c r="D115" s="28"/>
      <c r="E115" s="4"/>
      <c r="F115" s="28"/>
      <c r="G115" s="28"/>
      <c r="H115" s="4"/>
      <c r="I115" s="4"/>
      <c r="J115" s="28"/>
      <c r="K115" s="28"/>
      <c r="L115" s="28"/>
      <c r="M115" s="28"/>
      <c r="N115" s="28"/>
      <c r="O115" s="28"/>
      <c r="P115" s="4"/>
      <c r="Q115" s="1"/>
    </row>
    <row r="116" spans="1:17" x14ac:dyDescent="0.25">
      <c r="A116" s="29"/>
      <c r="B116" s="28"/>
      <c r="C116" s="28"/>
      <c r="D116" s="28"/>
      <c r="E116" s="4"/>
      <c r="F116" s="28"/>
      <c r="G116" s="28"/>
      <c r="H116" s="4"/>
      <c r="I116" s="4"/>
      <c r="J116" s="28"/>
      <c r="K116" s="28"/>
      <c r="L116" s="28"/>
      <c r="M116" s="28"/>
      <c r="N116" s="28"/>
      <c r="O116" s="28"/>
      <c r="P116" s="4"/>
      <c r="Q116" s="1"/>
    </row>
    <row r="117" spans="1:17" x14ac:dyDescent="0.25">
      <c r="A117" s="29"/>
      <c r="B117" s="28"/>
      <c r="C117" s="28"/>
      <c r="D117" s="28"/>
      <c r="E117" s="4"/>
      <c r="F117" s="29"/>
      <c r="G117" s="28"/>
      <c r="H117" s="4"/>
      <c r="I117" s="4"/>
      <c r="J117" s="28"/>
      <c r="K117" s="28"/>
      <c r="L117" s="28"/>
      <c r="M117" s="28"/>
      <c r="N117" s="28"/>
      <c r="O117" s="28"/>
      <c r="P117" s="4"/>
      <c r="Q117" s="1"/>
    </row>
    <row r="118" spans="1:17" x14ac:dyDescent="0.25">
      <c r="A118" s="29"/>
      <c r="B118" s="28"/>
      <c r="C118" s="28"/>
      <c r="D118" s="28"/>
      <c r="E118" s="4"/>
      <c r="F118" s="28"/>
      <c r="G118" s="28"/>
      <c r="H118" s="4"/>
      <c r="I118" s="4"/>
      <c r="J118" s="28"/>
      <c r="K118" s="28"/>
      <c r="L118" s="28"/>
      <c r="M118" s="28"/>
      <c r="N118" s="28"/>
      <c r="O118" s="28"/>
      <c r="P118" s="4"/>
      <c r="Q118" s="1"/>
    </row>
    <row r="119" spans="1:17" x14ac:dyDescent="0.25">
      <c r="A119" s="29"/>
      <c r="B119" s="28"/>
      <c r="C119" s="28"/>
      <c r="D119" s="28"/>
      <c r="E119" s="4"/>
      <c r="F119" s="28"/>
      <c r="G119" s="28"/>
      <c r="H119" s="4"/>
      <c r="I119" s="4"/>
      <c r="J119" s="28"/>
      <c r="K119" s="28"/>
      <c r="L119" s="28"/>
      <c r="M119" s="28"/>
      <c r="N119" s="28"/>
      <c r="O119" s="28"/>
      <c r="P119" s="4"/>
      <c r="Q119" s="1"/>
    </row>
    <row r="120" spans="1:17" x14ac:dyDescent="0.25">
      <c r="A120" s="29"/>
      <c r="B120" s="29"/>
      <c r="C120" s="29"/>
      <c r="D120" s="29"/>
      <c r="E120" s="4"/>
      <c r="F120" s="29"/>
      <c r="G120" s="29"/>
      <c r="H120" s="29"/>
      <c r="I120" s="4"/>
      <c r="J120" s="28"/>
      <c r="K120" s="28"/>
      <c r="L120" s="28"/>
      <c r="M120" s="28"/>
      <c r="N120" s="28"/>
      <c r="O120" s="28"/>
      <c r="P120" s="4"/>
      <c r="Q120" s="1"/>
    </row>
    <row r="121" spans="1:17" x14ac:dyDescent="0.25">
      <c r="A121" s="29"/>
      <c r="B121" s="4"/>
      <c r="C121" s="28"/>
      <c r="D121" s="28"/>
      <c r="E121" s="4"/>
      <c r="F121" s="29"/>
      <c r="G121" s="29"/>
      <c r="H121" s="29"/>
      <c r="I121" s="4"/>
      <c r="J121" s="28"/>
      <c r="K121" s="28"/>
      <c r="L121" s="28"/>
      <c r="M121" s="28"/>
      <c r="N121" s="28"/>
      <c r="O121" s="28"/>
      <c r="P121" s="4"/>
      <c r="Q121" s="1"/>
    </row>
    <row r="122" spans="1:17" x14ac:dyDescent="0.25">
      <c r="A122" s="29"/>
      <c r="B122" s="4"/>
      <c r="C122" s="4"/>
      <c r="D122" s="4"/>
      <c r="E122" s="4"/>
      <c r="F122" s="29"/>
      <c r="G122" s="29"/>
      <c r="H122" s="29"/>
      <c r="I122" s="4"/>
      <c r="J122" s="28"/>
      <c r="K122" s="28"/>
      <c r="L122" s="28"/>
      <c r="M122" s="28"/>
      <c r="N122" s="28"/>
      <c r="O122" s="28"/>
      <c r="P122" s="4"/>
      <c r="Q122" s="1"/>
    </row>
    <row r="123" spans="1:17" x14ac:dyDescent="0.25">
      <c r="A123" s="29"/>
      <c r="B123" s="4"/>
      <c r="C123" s="81"/>
      <c r="D123" s="4"/>
      <c r="E123" s="4"/>
      <c r="F123" s="29"/>
      <c r="G123" s="29"/>
      <c r="H123" s="29"/>
      <c r="I123" s="4"/>
      <c r="J123" s="28"/>
      <c r="K123" s="28"/>
      <c r="L123" s="28"/>
      <c r="M123" s="28"/>
      <c r="N123" s="28"/>
      <c r="O123" s="28"/>
      <c r="P123" s="4"/>
      <c r="Q123" s="1"/>
    </row>
    <row r="124" spans="1:17" x14ac:dyDescent="0.25">
      <c r="A124" s="29"/>
      <c r="B124" s="4"/>
      <c r="C124" s="4"/>
      <c r="D124" s="4"/>
      <c r="E124" s="4"/>
      <c r="F124" s="29"/>
      <c r="G124" s="29"/>
      <c r="H124" s="29"/>
      <c r="I124" s="4"/>
      <c r="J124" s="28"/>
      <c r="K124" s="28"/>
      <c r="L124" s="28"/>
      <c r="M124" s="28"/>
      <c r="N124" s="28"/>
      <c r="O124" s="28"/>
      <c r="P124" s="4"/>
      <c r="Q124" s="1"/>
    </row>
    <row r="125" spans="1:17" x14ac:dyDescent="0.25">
      <c r="A125" s="29"/>
      <c r="B125" s="4"/>
      <c r="C125" s="4"/>
      <c r="D125" s="4"/>
      <c r="E125" s="4"/>
      <c r="F125" s="29"/>
      <c r="G125" s="29"/>
      <c r="H125" s="29"/>
      <c r="I125" s="4"/>
      <c r="J125" s="28"/>
      <c r="K125" s="28"/>
      <c r="L125" s="28"/>
      <c r="M125" s="28"/>
      <c r="N125" s="28"/>
      <c r="O125" s="28"/>
      <c r="P125" s="4"/>
      <c r="Q125" s="1"/>
    </row>
    <row r="126" spans="1:17" ht="13.8" x14ac:dyDescent="0.25">
      <c r="A126" s="8"/>
      <c r="B126" s="29"/>
      <c r="C126" s="8"/>
      <c r="D126" s="27"/>
      <c r="E126" s="4"/>
      <c r="F126" s="29"/>
      <c r="G126" s="29"/>
      <c r="H126" s="29"/>
      <c r="I126" s="4"/>
      <c r="J126" s="28"/>
      <c r="K126" s="28"/>
      <c r="L126" s="28"/>
      <c r="M126" s="28"/>
      <c r="N126" s="28"/>
      <c r="O126" s="28"/>
      <c r="P126" s="4"/>
      <c r="Q126" s="1"/>
    </row>
    <row r="127" spans="1:17" x14ac:dyDescent="0.25">
      <c r="A127" s="29"/>
      <c r="B127" s="29"/>
      <c r="C127" s="28"/>
      <c r="D127" s="28"/>
      <c r="E127" s="4"/>
      <c r="F127" s="29"/>
      <c r="G127" s="29"/>
      <c r="H127" s="29"/>
      <c r="I127" s="4"/>
      <c r="J127" s="28"/>
      <c r="K127" s="28"/>
      <c r="L127" s="28"/>
      <c r="M127" s="28"/>
      <c r="N127" s="28"/>
      <c r="O127" s="28"/>
      <c r="P127" s="4"/>
      <c r="Q127" s="1"/>
    </row>
    <row r="128" spans="1:17" x14ac:dyDescent="0.25">
      <c r="A128" s="29"/>
      <c r="B128" s="29"/>
      <c r="C128" s="29"/>
      <c r="D128" s="29"/>
      <c r="E128" s="4"/>
      <c r="F128" s="29"/>
      <c r="G128" s="29"/>
      <c r="H128" s="29"/>
      <c r="I128" s="4"/>
      <c r="J128" s="28"/>
      <c r="K128" s="28"/>
      <c r="L128" s="28"/>
      <c r="M128" s="28"/>
      <c r="N128" s="28"/>
      <c r="O128" s="28"/>
      <c r="P128" s="4"/>
      <c r="Q128" s="1"/>
    </row>
    <row r="129" spans="1:27" x14ac:dyDescent="0.25">
      <c r="A129" s="29"/>
      <c r="B129" s="29"/>
      <c r="C129" s="28"/>
      <c r="D129" s="28"/>
      <c r="E129" s="4"/>
      <c r="F129" s="29"/>
      <c r="G129" s="29"/>
      <c r="H129" s="29"/>
      <c r="I129" s="4"/>
      <c r="J129" s="28"/>
      <c r="K129" s="28"/>
      <c r="L129" s="28"/>
      <c r="M129" s="28"/>
      <c r="N129" s="28"/>
      <c r="O129" s="28"/>
      <c r="P129" s="4"/>
      <c r="Q129" s="1"/>
    </row>
    <row r="130" spans="1:27" x14ac:dyDescent="0.25">
      <c r="A130" s="29"/>
      <c r="B130" s="29"/>
      <c r="C130" s="28"/>
      <c r="D130" s="28"/>
      <c r="E130" s="4"/>
      <c r="F130" s="29"/>
      <c r="G130" s="29"/>
      <c r="H130" s="29"/>
      <c r="I130" s="4"/>
      <c r="J130" s="28"/>
      <c r="K130" s="28"/>
      <c r="L130" s="28"/>
      <c r="M130" s="28"/>
      <c r="N130" s="28"/>
      <c r="O130" s="28"/>
      <c r="P130" s="4"/>
      <c r="Q130" s="1"/>
    </row>
    <row r="131" spans="1:27" x14ac:dyDescent="0.25">
      <c r="A131" s="29"/>
      <c r="B131" s="29"/>
      <c r="C131" s="28"/>
      <c r="D131" s="28"/>
      <c r="E131" s="4"/>
      <c r="F131" s="29"/>
      <c r="G131" s="29"/>
      <c r="H131" s="29"/>
      <c r="I131" s="4"/>
      <c r="J131" s="28"/>
      <c r="K131" s="28"/>
      <c r="L131" s="28"/>
      <c r="M131" s="28"/>
      <c r="N131" s="28"/>
      <c r="O131" s="28"/>
      <c r="P131" s="4"/>
      <c r="Q131" s="1"/>
    </row>
    <row r="132" spans="1:27" x14ac:dyDescent="0.25">
      <c r="A132" s="29"/>
      <c r="B132" s="29"/>
      <c r="C132" s="28"/>
      <c r="D132" s="28"/>
      <c r="E132" s="4"/>
      <c r="F132" s="29"/>
      <c r="G132" s="29"/>
      <c r="H132" s="29"/>
      <c r="I132" s="4"/>
      <c r="J132" s="28"/>
      <c r="K132" s="28"/>
      <c r="L132" s="28"/>
      <c r="M132" s="28"/>
      <c r="N132" s="28"/>
      <c r="O132" s="28"/>
      <c r="P132" s="4"/>
      <c r="Q132" s="1"/>
    </row>
    <row r="133" spans="1:27" x14ac:dyDescent="0.25">
      <c r="A133" s="29"/>
      <c r="B133" s="29"/>
      <c r="C133" s="28"/>
      <c r="D133" s="28"/>
      <c r="E133" s="4"/>
      <c r="F133" s="29"/>
      <c r="G133" s="29"/>
      <c r="H133" s="29"/>
      <c r="I133" s="4"/>
      <c r="J133" s="28"/>
      <c r="K133" s="28"/>
      <c r="L133" s="28"/>
      <c r="M133" s="28"/>
      <c r="N133" s="28"/>
      <c r="O133" s="28"/>
      <c r="P133" s="4"/>
      <c r="Q133" s="1"/>
    </row>
    <row r="134" spans="1:27" x14ac:dyDescent="0.25">
      <c r="A134" s="29"/>
      <c r="B134" s="29"/>
      <c r="C134" s="28"/>
      <c r="D134" s="28"/>
      <c r="E134" s="4"/>
      <c r="F134" s="29"/>
      <c r="G134" s="29"/>
      <c r="H134" s="29"/>
      <c r="I134" s="4"/>
      <c r="J134" s="28"/>
      <c r="K134" s="28"/>
      <c r="L134" s="28"/>
      <c r="M134" s="28"/>
      <c r="N134" s="28"/>
      <c r="O134" s="28"/>
      <c r="P134" s="4"/>
      <c r="Q134" s="1"/>
    </row>
    <row r="135" spans="1:27" x14ac:dyDescent="0.25">
      <c r="A135" s="29"/>
      <c r="B135" s="29"/>
      <c r="C135" s="28"/>
      <c r="D135" s="28"/>
      <c r="E135" s="4"/>
      <c r="F135" s="29"/>
      <c r="G135" s="29"/>
      <c r="H135" s="29"/>
      <c r="I135" s="4"/>
      <c r="J135" s="28"/>
      <c r="K135" s="28"/>
      <c r="L135" s="28"/>
      <c r="M135" s="28"/>
      <c r="N135" s="28"/>
      <c r="O135" s="28"/>
      <c r="P135" s="4"/>
      <c r="Q135" s="1"/>
    </row>
    <row r="136" spans="1:27" x14ac:dyDescent="0.25">
      <c r="A136" s="29"/>
      <c r="B136" s="29"/>
      <c r="C136" s="28"/>
      <c r="D136" s="28"/>
      <c r="E136" s="4"/>
      <c r="F136" s="29"/>
      <c r="G136" s="29"/>
      <c r="H136" s="29"/>
      <c r="I136" s="4"/>
      <c r="J136" s="28"/>
      <c r="K136" s="28"/>
      <c r="L136" s="28"/>
      <c r="M136" s="28"/>
      <c r="N136" s="28"/>
      <c r="O136" s="28"/>
      <c r="P136" s="4"/>
      <c r="Q136" s="1"/>
    </row>
    <row r="137" spans="1:27" x14ac:dyDescent="0.25">
      <c r="A137" s="29"/>
      <c r="B137" s="29"/>
      <c r="C137" s="82"/>
      <c r="D137" s="28"/>
      <c r="E137" s="4"/>
      <c r="F137" s="28"/>
      <c r="G137" s="28"/>
      <c r="H137" s="4"/>
      <c r="I137" s="4"/>
      <c r="J137" s="28"/>
      <c r="K137" s="28"/>
      <c r="L137" s="28"/>
      <c r="M137" s="28"/>
      <c r="N137" s="4"/>
      <c r="O137" s="28"/>
      <c r="P137" s="4"/>
      <c r="Q137" s="1"/>
    </row>
    <row r="138" spans="1:27" x14ac:dyDescent="0.25">
      <c r="A138" s="29"/>
      <c r="B138" s="29"/>
      <c r="C138" s="28"/>
      <c r="D138" s="28"/>
      <c r="E138" s="28"/>
      <c r="F138" s="4"/>
      <c r="G138" s="4"/>
      <c r="H138" s="4"/>
      <c r="I138" s="4"/>
      <c r="J138" s="28"/>
      <c r="K138" s="28"/>
      <c r="L138" s="28"/>
      <c r="M138" s="28"/>
      <c r="N138" s="4"/>
      <c r="O138" s="4"/>
      <c r="P138" s="4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7" x14ac:dyDescent="0.25">
      <c r="A139" s="29"/>
      <c r="B139" s="29"/>
      <c r="C139" s="81"/>
      <c r="D139" s="28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7" ht="13.8" x14ac:dyDescent="0.25">
      <c r="A140" s="29"/>
      <c r="B140" s="29"/>
      <c r="C140" s="28"/>
      <c r="D140" s="28"/>
      <c r="E140" s="4"/>
      <c r="F140" s="4"/>
      <c r="G140" s="4"/>
      <c r="H140" s="4"/>
      <c r="I140" s="4"/>
      <c r="J140" s="8"/>
      <c r="K140" s="8"/>
      <c r="L140" s="8"/>
      <c r="M140" s="8"/>
      <c r="N140" s="8"/>
      <c r="O140" s="33"/>
      <c r="P140" s="34"/>
      <c r="Q140" s="4"/>
      <c r="R140" s="4"/>
      <c r="S140" s="8"/>
      <c r="T140" s="4"/>
      <c r="U140" s="4"/>
      <c r="V140" s="4"/>
      <c r="W140" s="4"/>
      <c r="X140" s="4"/>
      <c r="Y140" s="4"/>
      <c r="Z140" s="4"/>
      <c r="AA140" s="12"/>
    </row>
    <row r="141" spans="1:27" x14ac:dyDescent="0.25">
      <c r="A141" s="29"/>
      <c r="B141" s="29"/>
      <c r="C141" s="28"/>
      <c r="D141" s="28"/>
      <c r="E141" s="28"/>
      <c r="F141" s="4"/>
      <c r="G141" s="4"/>
      <c r="H141" s="4"/>
      <c r="I141" s="4"/>
      <c r="J141" s="4"/>
      <c r="K141" s="4"/>
      <c r="L141" s="4"/>
      <c r="M141" s="3"/>
      <c r="N141" s="3"/>
      <c r="O141" s="32"/>
      <c r="P141" s="3"/>
      <c r="Q141" s="3"/>
      <c r="R141" s="3"/>
      <c r="S141" s="3"/>
      <c r="T141" s="3"/>
      <c r="U141" s="3"/>
      <c r="V141" s="3"/>
      <c r="W141" s="3"/>
      <c r="X141" s="3"/>
      <c r="Y141" s="4"/>
      <c r="Z141" s="4"/>
      <c r="AA141" s="12"/>
    </row>
    <row r="142" spans="1:27" x14ac:dyDescent="0.25">
      <c r="A142" s="28"/>
      <c r="B142" s="28"/>
      <c r="C142" s="28"/>
      <c r="D142" s="28"/>
      <c r="E142" s="4"/>
      <c r="F142" s="4"/>
      <c r="G142" s="4"/>
      <c r="H142" s="4"/>
      <c r="I142" s="4"/>
      <c r="J142" s="4"/>
      <c r="K142" s="4"/>
      <c r="L142" s="4"/>
      <c r="M142" s="3"/>
      <c r="N142" s="3"/>
      <c r="O142" s="3"/>
      <c r="P142" s="3"/>
      <c r="Q142" s="3"/>
      <c r="R142" s="28"/>
      <c r="S142" s="28"/>
      <c r="T142" s="4"/>
      <c r="U142" s="31"/>
      <c r="V142" s="3"/>
      <c r="W142" s="14"/>
      <c r="X142" s="14"/>
      <c r="Y142" s="4"/>
      <c r="Z142" s="4"/>
      <c r="AA142" s="12"/>
    </row>
    <row r="143" spans="1:27" x14ac:dyDescent="0.25">
      <c r="A143" s="4"/>
      <c r="B143" s="28"/>
      <c r="C143" s="28"/>
      <c r="D143" s="4"/>
      <c r="E143" s="4"/>
      <c r="F143" s="4"/>
      <c r="G143" s="4"/>
      <c r="H143" s="4"/>
      <c r="I143" s="4"/>
      <c r="J143" s="4"/>
      <c r="K143" s="4"/>
      <c r="L143" s="4"/>
      <c r="M143" s="28"/>
      <c r="N143" s="28"/>
      <c r="O143" s="28"/>
      <c r="P143" s="28"/>
      <c r="Q143" s="28"/>
      <c r="R143" s="4"/>
      <c r="S143" s="4"/>
      <c r="T143" s="4"/>
      <c r="U143" s="4"/>
      <c r="V143" s="32"/>
      <c r="W143" s="4"/>
      <c r="X143" s="4"/>
      <c r="Y143" s="4"/>
      <c r="Z143" s="4"/>
      <c r="AA143" s="12"/>
    </row>
    <row r="144" spans="1:27" x14ac:dyDescent="0.25">
      <c r="A144" s="4"/>
      <c r="B144" s="28"/>
      <c r="C144" s="28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12"/>
    </row>
    <row r="145" spans="1:27" x14ac:dyDescent="0.25">
      <c r="A145" s="4"/>
      <c r="B145" s="28"/>
      <c r="C145" s="28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12"/>
    </row>
    <row r="146" spans="1:27" x14ac:dyDescent="0.25">
      <c r="A146" s="4"/>
      <c r="B146" s="28"/>
      <c r="C146" s="28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12"/>
    </row>
    <row r="147" spans="1:27" ht="13.8" x14ac:dyDescent="0.25">
      <c r="A147" s="75"/>
      <c r="B147" s="28"/>
      <c r="C147" s="28"/>
      <c r="D147" s="4"/>
      <c r="E147" s="4"/>
      <c r="F147" s="4"/>
      <c r="G147" s="4"/>
      <c r="H147" s="4"/>
      <c r="I147" s="4"/>
      <c r="J147" s="35"/>
      <c r="K147" s="36"/>
      <c r="L147" s="36"/>
      <c r="M147" s="36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12"/>
    </row>
    <row r="148" spans="1:27" ht="13.8" x14ac:dyDescent="0.25">
      <c r="A148" s="4"/>
      <c r="B148" s="28"/>
      <c r="C148" s="28"/>
      <c r="D148" s="4"/>
      <c r="E148" s="4"/>
      <c r="F148" s="4"/>
      <c r="G148" s="4"/>
      <c r="H148" s="4"/>
      <c r="I148" s="4"/>
      <c r="J148" s="8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12"/>
    </row>
    <row r="149" spans="1:27" x14ac:dyDescent="0.25">
      <c r="A149" s="4"/>
      <c r="B149" s="28"/>
      <c r="C149" s="28"/>
      <c r="D149" s="4"/>
      <c r="E149" s="4"/>
      <c r="F149" s="4"/>
      <c r="G149" s="4"/>
      <c r="H149" s="4"/>
      <c r="I149" s="4"/>
      <c r="J149" s="37"/>
      <c r="K149" s="37"/>
      <c r="L149" s="37"/>
      <c r="M149" s="37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12"/>
    </row>
    <row r="150" spans="1:27" x14ac:dyDescent="0.25">
      <c r="A150" s="4"/>
      <c r="B150" s="28"/>
      <c r="C150" s="28"/>
      <c r="D150" s="4"/>
      <c r="E150" s="4"/>
      <c r="F150" s="4"/>
      <c r="G150" s="4"/>
      <c r="H150" s="4"/>
      <c r="I150" s="4"/>
      <c r="J150" s="4"/>
      <c r="K150" s="4"/>
      <c r="L150" s="28"/>
      <c r="M150" s="28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12"/>
    </row>
    <row r="151" spans="1:27" x14ac:dyDescent="0.25">
      <c r="A151" s="4"/>
      <c r="B151" s="28"/>
      <c r="C151" s="28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12"/>
    </row>
    <row r="152" spans="1:27" x14ac:dyDescent="0.25">
      <c r="A152" s="4"/>
      <c r="B152" s="28"/>
      <c r="C152" s="2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12"/>
    </row>
    <row r="153" spans="1:27" x14ac:dyDescent="0.25">
      <c r="A153" s="4"/>
      <c r="B153" s="28"/>
      <c r="C153" s="28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12"/>
    </row>
    <row r="154" spans="1:27" x14ac:dyDescent="0.25">
      <c r="A154" s="4"/>
      <c r="B154" s="28"/>
      <c r="C154" s="28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12"/>
    </row>
    <row r="155" spans="1:27" x14ac:dyDescent="0.25">
      <c r="A155" s="4"/>
      <c r="B155" s="28"/>
      <c r="C155" s="28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12"/>
    </row>
    <row r="156" spans="1:27" x14ac:dyDescent="0.25">
      <c r="A156" s="4"/>
      <c r="B156" s="28"/>
      <c r="C156" s="28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12"/>
    </row>
    <row r="157" spans="1:27" x14ac:dyDescent="0.25">
      <c r="A157" s="4"/>
      <c r="B157" s="28"/>
      <c r="C157" s="28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12"/>
    </row>
    <row r="158" spans="1:27" x14ac:dyDescent="0.25">
      <c r="A158" s="4"/>
      <c r="B158" s="28"/>
      <c r="C158" s="2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12"/>
    </row>
    <row r="159" spans="1:27" x14ac:dyDescent="0.25">
      <c r="A159" s="4"/>
      <c r="B159" s="28"/>
      <c r="C159" s="28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12"/>
    </row>
    <row r="160" spans="1:27" x14ac:dyDescent="0.25">
      <c r="A160" s="4"/>
      <c r="B160" s="28"/>
      <c r="C160" s="28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12"/>
    </row>
    <row r="161" spans="1:27" x14ac:dyDescent="0.25">
      <c r="A161" s="4"/>
      <c r="B161" s="28"/>
      <c r="C161" s="28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12"/>
    </row>
    <row r="162" spans="1:27" x14ac:dyDescent="0.25">
      <c r="A162" s="4"/>
      <c r="B162" s="28"/>
      <c r="C162" s="28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12"/>
    </row>
    <row r="163" spans="1:27" x14ac:dyDescent="0.25">
      <c r="A163" s="4"/>
      <c r="B163" s="28"/>
      <c r="C163" s="28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12"/>
    </row>
    <row r="164" spans="1:27" x14ac:dyDescent="0.25">
      <c r="A164" s="4"/>
      <c r="B164" s="28"/>
      <c r="C164" s="28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12"/>
    </row>
    <row r="165" spans="1:27" x14ac:dyDescent="0.25">
      <c r="A165" s="4"/>
      <c r="B165" s="28"/>
      <c r="C165" s="28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12"/>
    </row>
    <row r="166" spans="1:27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12"/>
    </row>
    <row r="167" spans="1:27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12"/>
    </row>
    <row r="168" spans="1:27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12"/>
    </row>
    <row r="169" spans="1:27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12"/>
    </row>
    <row r="170" spans="1:27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12"/>
    </row>
    <row r="171" spans="1:27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12"/>
    </row>
    <row r="172" spans="1:27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12"/>
    </row>
    <row r="173" spans="1:27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12"/>
    </row>
    <row r="174" spans="1:27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12"/>
    </row>
    <row r="175" spans="1:27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12"/>
    </row>
    <row r="176" spans="1:27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12"/>
    </row>
    <row r="177" spans="1:27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12"/>
    </row>
    <row r="178" spans="1:27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12"/>
    </row>
    <row r="179" spans="1:27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12"/>
    </row>
    <row r="180" spans="1:27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12"/>
    </row>
    <row r="181" spans="1:27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12"/>
    </row>
    <row r="182" spans="1:27" x14ac:dyDescent="0.25">
      <c r="I182" s="12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12"/>
    </row>
    <row r="183" spans="1:27" x14ac:dyDescent="0.25">
      <c r="I183" s="12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12"/>
    </row>
    <row r="184" spans="1:27" x14ac:dyDescent="0.25">
      <c r="I184" s="12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12"/>
    </row>
    <row r="185" spans="1:27" x14ac:dyDescent="0.25"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x14ac:dyDescent="0.25"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x14ac:dyDescent="0.25"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x14ac:dyDescent="0.25"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x14ac:dyDescent="0.25"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x14ac:dyDescent="0.25"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x14ac:dyDescent="0.25"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x14ac:dyDescent="0.25"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9:27" x14ac:dyDescent="0.25"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9:27" x14ac:dyDescent="0.25"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9:27" x14ac:dyDescent="0.25"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9:27" x14ac:dyDescent="0.25"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9:27" x14ac:dyDescent="0.25"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9:27" x14ac:dyDescent="0.25"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</sheetData>
  <mergeCells count="1">
    <mergeCell ref="J79:M79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26"/>
  <sheetViews>
    <sheetView workbookViewId="0">
      <selection activeCell="J27" sqref="J27"/>
    </sheetView>
  </sheetViews>
  <sheetFormatPr baseColWidth="10" defaultRowHeight="13.2" x14ac:dyDescent="0.25"/>
  <sheetData>
    <row r="1" spans="1:43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7.399999999999999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2"/>
      <c r="L2" s="62"/>
      <c r="M2" s="62"/>
      <c r="N2" s="6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7.399999999999999" x14ac:dyDescent="0.3">
      <c r="A3" s="6"/>
      <c r="B3" s="6"/>
      <c r="C3" s="6"/>
      <c r="D3" s="6"/>
      <c r="E3" s="6"/>
      <c r="F3" s="6"/>
      <c r="G3" s="6"/>
      <c r="H3" s="4"/>
      <c r="I3" s="4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3.8" x14ac:dyDescent="0.25">
      <c r="A5" s="8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7.399999999999999" x14ac:dyDescent="0.3">
      <c r="A7" s="9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7.399999999999999" x14ac:dyDescent="0.3">
      <c r="A8" s="9"/>
      <c r="B8" s="7"/>
      <c r="C8" s="7"/>
      <c r="D8" s="7"/>
      <c r="E8" s="7"/>
      <c r="F8" s="7"/>
      <c r="G8" s="7"/>
      <c r="H8" s="7"/>
      <c r="I8" s="7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3.8" x14ac:dyDescent="0.25">
      <c r="A11" s="26"/>
      <c r="B11" s="26"/>
      <c r="C11" s="26"/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3.8" x14ac:dyDescent="0.25">
      <c r="A13" s="1"/>
      <c r="B13" s="3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3.8" x14ac:dyDescent="0.25">
      <c r="A15" s="1"/>
      <c r="B15" s="39"/>
      <c r="C15" s="1"/>
      <c r="D15" s="1"/>
      <c r="E15" s="4"/>
      <c r="F15" s="6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3.8" x14ac:dyDescent="0.25">
      <c r="A17" s="1"/>
      <c r="B17" s="39"/>
      <c r="C17" s="1"/>
      <c r="D17" s="1"/>
      <c r="E17" s="4"/>
      <c r="F17" s="63"/>
      <c r="G17" s="3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3.8" x14ac:dyDescent="0.25">
      <c r="A20" s="2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3.8" x14ac:dyDescent="0.25">
      <c r="A22" s="1"/>
      <c r="B22" s="3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3.8" x14ac:dyDescent="0.25">
      <c r="A24" s="1"/>
      <c r="B24" s="39"/>
      <c r="C24" s="1"/>
      <c r="D24" s="1"/>
      <c r="E24" s="4"/>
      <c r="F24" s="3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3.8" x14ac:dyDescent="0.25">
      <c r="A26" s="1"/>
      <c r="B26" s="39"/>
      <c r="C26" s="1"/>
      <c r="D26" s="1"/>
      <c r="E26" s="4"/>
      <c r="F26" s="3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3.8" x14ac:dyDescent="0.25">
      <c r="A29" s="1"/>
      <c r="B29" s="3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3.8" x14ac:dyDescent="0.25">
      <c r="A31" s="1"/>
      <c r="B31" s="39"/>
      <c r="C31" s="1"/>
      <c r="D31" s="1"/>
      <c r="E31" s="4"/>
      <c r="F31" s="3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3.8" x14ac:dyDescent="0.25">
      <c r="A33" s="1"/>
      <c r="B33" s="39"/>
      <c r="C33" s="1"/>
      <c r="D33" s="1"/>
      <c r="E33" s="4"/>
      <c r="F33" s="3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3.8" x14ac:dyDescent="0.25">
      <c r="A36" s="1"/>
      <c r="B36" s="3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3.8" x14ac:dyDescent="0.25">
      <c r="A38" s="1"/>
      <c r="B38" s="39"/>
      <c r="C38" s="1"/>
      <c r="D38" s="1"/>
      <c r="E38" s="4"/>
      <c r="F38" s="3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3.8" x14ac:dyDescent="0.25">
      <c r="A40" s="1"/>
      <c r="B40" s="39"/>
      <c r="C40" s="1"/>
      <c r="D40" s="1"/>
      <c r="E40" s="4"/>
      <c r="F40" s="3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3.8" x14ac:dyDescent="0.25">
      <c r="A43" s="1"/>
      <c r="B43" s="26"/>
      <c r="C43" s="1"/>
      <c r="D43" s="1"/>
      <c r="E43" s="4"/>
      <c r="F43" s="38"/>
      <c r="G43" s="3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3.8" x14ac:dyDescent="0.25">
      <c r="A45" s="2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3.8" x14ac:dyDescent="0.25">
      <c r="A47" s="1"/>
      <c r="B47" s="39"/>
      <c r="C47" s="1"/>
      <c r="D47" s="1"/>
      <c r="E47" s="1"/>
      <c r="F47" s="38"/>
      <c r="G47" s="3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3.8" x14ac:dyDescent="0.25">
      <c r="A49" s="1"/>
      <c r="B49" s="39"/>
      <c r="C49" s="1"/>
      <c r="D49" s="1"/>
      <c r="E49" s="4"/>
      <c r="F49" s="38"/>
      <c r="G49" s="6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25">
      <c r="A50" s="1"/>
      <c r="B50" s="6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3.8" x14ac:dyDescent="0.25">
      <c r="A51" s="1"/>
      <c r="B51" s="40"/>
      <c r="C51" s="1"/>
      <c r="D51" s="1"/>
      <c r="E51" s="4"/>
      <c r="F51" s="38"/>
      <c r="G51" s="6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25">
      <c r="A52" s="1"/>
      <c r="B52" s="6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3.8" x14ac:dyDescent="0.25">
      <c r="A53" s="1"/>
      <c r="B53" s="40"/>
      <c r="C53" s="1"/>
      <c r="D53" s="1"/>
      <c r="E53" s="4"/>
      <c r="F53" s="3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25">
      <c r="A54" s="1"/>
      <c r="B54" s="6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3.8" x14ac:dyDescent="0.25">
      <c r="A55" s="1"/>
      <c r="B55" s="40"/>
      <c r="C55" s="1"/>
      <c r="D55" s="1"/>
      <c r="E55" s="4"/>
      <c r="F55" s="3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3.8" x14ac:dyDescent="0.25">
      <c r="A57" s="1"/>
      <c r="B57" s="39"/>
      <c r="C57" s="1"/>
      <c r="D57" s="1"/>
      <c r="E57" s="4"/>
      <c r="F57" s="38"/>
      <c r="G57" s="39"/>
      <c r="H57" s="4"/>
      <c r="I57" s="4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3.8" x14ac:dyDescent="0.25">
      <c r="A62" s="66"/>
      <c r="B62" s="56"/>
      <c r="C62" s="1"/>
      <c r="D62" s="1"/>
      <c r="E62" s="1"/>
      <c r="F62" s="1"/>
      <c r="G62" s="3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3.8" x14ac:dyDescent="0.25">
      <c r="A64" s="1"/>
      <c r="B64" s="40"/>
      <c r="C64" s="1"/>
      <c r="D64" s="1"/>
      <c r="E64" s="67"/>
      <c r="F64" s="38"/>
      <c r="G64" s="4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3.8" x14ac:dyDescent="0.25">
      <c r="A66" s="1"/>
      <c r="B66" s="40"/>
      <c r="C66" s="1"/>
      <c r="D66" s="1"/>
      <c r="E66" s="1"/>
      <c r="F66" s="38"/>
      <c r="G66" s="40"/>
      <c r="H66" s="41"/>
      <c r="I66" s="41"/>
      <c r="J66" s="4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3.8" x14ac:dyDescent="0.25">
      <c r="A68" s="1"/>
      <c r="B68" s="39"/>
      <c r="C68" s="1"/>
      <c r="D68" s="1"/>
      <c r="E68" s="4"/>
      <c r="F68" s="38"/>
      <c r="G68" s="3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3.8" x14ac:dyDescent="0.25">
      <c r="A70" s="1"/>
      <c r="B70" s="39"/>
      <c r="C70" s="1"/>
      <c r="D70" s="1"/>
      <c r="E70" s="1"/>
      <c r="F70" s="38"/>
      <c r="G70" s="4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3.8" x14ac:dyDescent="0.2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3.8" x14ac:dyDescent="0.25">
      <c r="A75" s="70"/>
      <c r="B75" s="8"/>
      <c r="C75" s="8"/>
      <c r="D75" s="8"/>
      <c r="E75" s="8"/>
      <c r="F75" s="4"/>
      <c r="G75" s="4"/>
      <c r="H75" s="8"/>
      <c r="I75" s="4"/>
      <c r="J75" s="4"/>
      <c r="K75" s="4"/>
      <c r="L75" s="4"/>
      <c r="M75" s="4"/>
      <c r="N75" s="4"/>
      <c r="O75" s="4"/>
      <c r="P75" s="8"/>
      <c r="Q75" s="8"/>
      <c r="R75" s="8"/>
      <c r="S75" s="4"/>
      <c r="T75" s="4"/>
      <c r="U75" s="4"/>
      <c r="V75" s="4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3.8" x14ac:dyDescent="0.25">
      <c r="A76" s="54"/>
      <c r="B76" s="8"/>
      <c r="C76" s="8"/>
      <c r="D76" s="8"/>
      <c r="E76" s="8"/>
      <c r="F76" s="27"/>
      <c r="G76" s="28"/>
      <c r="H76" s="8"/>
      <c r="I76" s="8"/>
      <c r="J76" s="8"/>
      <c r="K76" s="8"/>
      <c r="L76" s="27"/>
      <c r="M76" s="28"/>
      <c r="N76" s="8"/>
      <c r="O76" s="4"/>
      <c r="P76" s="4"/>
      <c r="Q76" s="55" t="s">
        <v>38</v>
      </c>
      <c r="R76" s="4"/>
      <c r="S76" s="4"/>
      <c r="T76" s="4"/>
      <c r="U76" s="4"/>
      <c r="V76" s="4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3.8" x14ac:dyDescent="0.25">
      <c r="A77" s="70"/>
      <c r="B77" s="1"/>
      <c r="C77" s="2"/>
      <c r="D77" s="1"/>
      <c r="E77" s="2"/>
      <c r="F77" s="2"/>
      <c r="G77" s="2"/>
      <c r="H77" s="1"/>
      <c r="I77" s="2"/>
      <c r="J77" s="1"/>
      <c r="K77" s="2"/>
      <c r="L77" s="2"/>
      <c r="M77" s="2"/>
      <c r="N77" s="3"/>
      <c r="O77" s="71"/>
      <c r="P77" s="72"/>
      <c r="Q77" s="71" t="s">
        <v>24</v>
      </c>
      <c r="R77" s="3" t="s">
        <v>27</v>
      </c>
      <c r="S77" s="3" t="s">
        <v>44</v>
      </c>
      <c r="T77" s="3" t="s">
        <v>45</v>
      </c>
      <c r="U77" s="3" t="s">
        <v>51</v>
      </c>
      <c r="V77" s="3" t="s">
        <v>48</v>
      </c>
      <c r="W77" s="3" t="s">
        <v>52</v>
      </c>
      <c r="X77" s="3" t="s">
        <v>53</v>
      </c>
      <c r="Y77" s="3" t="s">
        <v>54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71"/>
      <c r="P78" s="3"/>
      <c r="Q78" s="3" t="s">
        <v>22</v>
      </c>
      <c r="R78" s="3"/>
      <c r="S78" s="1"/>
      <c r="T78" s="2" t="s">
        <v>46</v>
      </c>
      <c r="U78" s="1" t="s">
        <v>47</v>
      </c>
      <c r="V78" s="73" t="s">
        <v>49</v>
      </c>
      <c r="W78" s="3" t="s">
        <v>18</v>
      </c>
      <c r="X78" s="14" t="s">
        <v>18</v>
      </c>
      <c r="Y78" s="14" t="s">
        <v>18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25">
      <c r="A79" s="67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2"/>
      <c r="O79" s="2"/>
      <c r="P79" s="2"/>
      <c r="Q79" s="2"/>
      <c r="R79" s="2"/>
      <c r="S79" s="1"/>
      <c r="T79" s="1"/>
      <c r="U79" s="1"/>
      <c r="V79" s="1"/>
      <c r="W79" s="32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25">
      <c r="A80" s="67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2"/>
      <c r="O80" s="2"/>
      <c r="P80" s="2"/>
      <c r="Q80" s="2" t="e">
        <f>(E57/((E26+E33+E40)/A80*(E57/E64)+0.83*(E15/E57)^0.333-(E26+E33+E40)/A80))</f>
        <v>#DIV/0!</v>
      </c>
      <c r="R80" s="2" t="e">
        <f>(((E15*(A80^3))/(12*(10^-3)*P80)))^0.25</f>
        <v>#DIV/0!</v>
      </c>
      <c r="S80" s="1" t="e">
        <f>((E15*10^3*(A80*10^-3)^3*0.08333)/(T80+(E15*10^3*(A80*10^-3)^3*0.08333)))</f>
        <v>#DIV/0!</v>
      </c>
      <c r="T80" s="1" t="e">
        <f>(D80*E51*300)/(36.7*V80)</f>
        <v>#DIV/0!</v>
      </c>
      <c r="U80" s="1" t="e">
        <f>(S80*E49*E51^2*6)/(10.5*(A80*10^-3)^2)</f>
        <v>#DIV/0!</v>
      </c>
      <c r="V80" s="1" t="e">
        <f>((1+(0.364*(E49+A80*10^-3*E53)*E51^2)/D80)^-1)</f>
        <v>#DIV/0!</v>
      </c>
      <c r="W80" s="32" t="e">
        <f>(E49*S80*E51^4)/(100.8*E15*10^3*(A80*10^-3)^3*0.08333)*10^3</f>
        <v>#DIV/0!</v>
      </c>
      <c r="X80" s="1" t="e">
        <f>(J80*E51^2)/(36.7*E15*10^3*(A80*10^-3)^3*0.08333)*10^3</f>
        <v>#DIV/0!</v>
      </c>
      <c r="Y80" s="1" t="e">
        <f>(J80/D80)*E80</f>
        <v>#DIV/0!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25">
      <c r="A81" s="67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2"/>
      <c r="O81" s="2"/>
      <c r="P81" s="2"/>
      <c r="Q81" s="2" t="e">
        <f>(E57/((E26+E33+E40)/A81*(E57/E64)+0.83*(E15/E57)^0.333-(E26+E33+E40)/A81))</f>
        <v>#DIV/0!</v>
      </c>
      <c r="R81" s="2" t="e">
        <f>(((E15*(A81^3))/(12*(10^-3)*P81)))^0.25</f>
        <v>#DIV/0!</v>
      </c>
      <c r="S81" s="1"/>
      <c r="T81" s="1"/>
      <c r="U81" s="1"/>
      <c r="V81" s="1"/>
      <c r="W81" s="32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25">
      <c r="A82" s="67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2"/>
      <c r="O82" s="2"/>
      <c r="P82" s="2"/>
      <c r="Q82" s="2" t="e">
        <f>(E57/((E26+E33+E40)/A82*(E57/E64)+0.83*(E15/E57)^0.333-(E26+E33+E40)/A82))</f>
        <v>#DIV/0!</v>
      </c>
      <c r="R82" s="2" t="e">
        <f>(((E15*(A82^3))/(12*(10^-3)*P82)))^0.25</f>
        <v>#DIV/0!</v>
      </c>
      <c r="S82" s="1" t="e">
        <f>(0.8*E15*1*1000*(A82^3)/12)/(0.8*T82*10^9+(E15*(1*1000*(A82^3)/12)))</f>
        <v>#DIV/0!</v>
      </c>
      <c r="T82" s="1"/>
      <c r="U82" s="1"/>
      <c r="V82" s="1"/>
      <c r="W82" s="32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25">
      <c r="A83" s="67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2"/>
      <c r="O83" s="2"/>
      <c r="P83" s="2"/>
      <c r="Q83" s="2" t="e">
        <f>(E57/((E26+E33+E40)/A83*(E57/E64)+0.83*(E15/E57)^0.333-(E26+E33+E40)/A83))</f>
        <v>#DIV/0!</v>
      </c>
      <c r="R83" s="2" t="e">
        <f>(((E15*(A83^3))/(12*(10^-3)*P83)))^0.25</f>
        <v>#DIV/0!</v>
      </c>
      <c r="S83" s="1" t="e">
        <f>(0.8*E15*1*1000*(A83^3)/12)/(0.8*T83*10^9+(E15*(1*1000*(A83^3)/12)))</f>
        <v>#DIV/0!</v>
      </c>
      <c r="T83" s="1"/>
      <c r="U83" s="1"/>
      <c r="V83" s="1"/>
      <c r="W83" s="32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25">
      <c r="A84" s="67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2"/>
      <c r="O84" s="2"/>
      <c r="P84" s="2"/>
      <c r="Q84" s="2" t="e">
        <f>(E57/((E26+E33+E40)/A84*(E57/E64)+0.83*(E15/E57)^0.333-(E26+E33+E40)/A84))</f>
        <v>#DIV/0!</v>
      </c>
      <c r="R84" s="2" t="e">
        <f>(((E15*(A84^3))/(12*(10^-3)*P84)))^0.25</f>
        <v>#DIV/0!</v>
      </c>
      <c r="S84" s="1" t="e">
        <f>(0.8*E15*1*1000*(A84^3)/12)/(0.8*T84*10^9+(E15*(1*1000*(A84^3)/12)))</f>
        <v>#DIV/0!</v>
      </c>
      <c r="T84" s="1"/>
      <c r="U84" s="1"/>
      <c r="V84" s="1"/>
      <c r="W84" s="32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25">
      <c r="A85" s="67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2"/>
      <c r="O85" s="2"/>
      <c r="P85" s="2"/>
      <c r="Q85" s="2" t="e">
        <f>(E57/((E26+E33+E40)/A85*(E57/E64)+0.83*(E15/E57)^0.333-(E26+E33+E40)/A85))</f>
        <v>#DIV/0!</v>
      </c>
      <c r="R85" s="2" t="e">
        <f>(((E15*(A85^3))/(12*(10^-3)*P85)))^0.25</f>
        <v>#DIV/0!</v>
      </c>
      <c r="S85" s="1" t="e">
        <f>(0.8*E15*1*1000*(A85^3)/12)/(0.8*T85*10^9+(E15*(1*1000*(A85^3)/12)))</f>
        <v>#DIV/0!</v>
      </c>
      <c r="T85" s="1"/>
      <c r="U85" s="1"/>
      <c r="V85" s="1"/>
      <c r="W85" s="32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25">
      <c r="A86" s="67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2"/>
      <c r="O86" s="2"/>
      <c r="P86" s="2"/>
      <c r="Q86" s="2" t="e">
        <f>(E57/((E26+E33+E40)/A86*(E57/E64)+0.83*(E15/E57)^0.333-(E26+E33+E40)/A86))</f>
        <v>#DIV/0!</v>
      </c>
      <c r="R86" s="2" t="e">
        <f>(((E15*(A86^3))/(12*(10^-3)*P86)))^0.25</f>
        <v>#DIV/0!</v>
      </c>
      <c r="S86" s="1" t="e">
        <f>(0.8*E15*1*1000*(A86^3)/12)/(0.8*T86*10^9+(E15*(1*1000*(A86^3)/12)))</f>
        <v>#DIV/0!</v>
      </c>
      <c r="T86" s="1"/>
      <c r="U86" s="1"/>
      <c r="V86" s="1"/>
      <c r="W86" s="3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25">
      <c r="A87" s="67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2"/>
      <c r="O87" s="2"/>
      <c r="P87" s="2"/>
      <c r="Q87" s="2" t="e">
        <f>(E57/((E26+E33+E40)/A87*(E57/E64)+0.83*(E15/E57)^0.333-(E26+E33+E40)/A87))</f>
        <v>#DIV/0!</v>
      </c>
      <c r="R87" s="2" t="e">
        <f>(((E15*(A87^3))/(12*(10^-3)*P87)))^0.25</f>
        <v>#DIV/0!</v>
      </c>
      <c r="S87" s="1" t="e">
        <f>(0.8*E15*1*1000*(A87^3)/12)/(0.8*T87*10^9+(E15*(1*1000*(A87^3)/12)))</f>
        <v>#DIV/0!</v>
      </c>
      <c r="T87" s="1"/>
      <c r="U87" s="1"/>
      <c r="V87" s="1"/>
      <c r="W87" s="32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25">
      <c r="A88" s="67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2"/>
      <c r="O88" s="2"/>
      <c r="P88" s="2"/>
      <c r="Q88" s="2" t="e">
        <f>(E57/((E26+E33+E40)/A88*(E57/E64)+0.83*(E15/E57)^0.333-(E26+E33+E40)/A88))</f>
        <v>#DIV/0!</v>
      </c>
      <c r="R88" s="2" t="e">
        <f>(((E15*(A88^3))/(12*(10^-3)*P88)))^0.25</f>
        <v>#DIV/0!</v>
      </c>
      <c r="S88" s="1" t="e">
        <f>(0.8*E15*1*1000*(A88^3)/12)/(0.8*T88*10^9+(E15*(1*1000*(A88^3)/12)))</f>
        <v>#DIV/0!</v>
      </c>
      <c r="T88" s="1"/>
      <c r="U88" s="1"/>
      <c r="V88" s="1"/>
      <c r="W88" s="32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25">
      <c r="A89" s="67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2"/>
      <c r="O89" s="2"/>
      <c r="P89" s="2"/>
      <c r="Q89" s="2" t="e">
        <f>(E57/((E26+E33+E40)/A89*(E57/E64)+0.83*(E15/E57)^0.333-(E26+E33+E40)/A89))</f>
        <v>#DIV/0!</v>
      </c>
      <c r="R89" s="2" t="e">
        <f>(((E15*(A89^3))/(12*(10^-3)*P89)))^0.25</f>
        <v>#DIV/0!</v>
      </c>
      <c r="S89" s="1" t="e">
        <f>(0.8*E15*1*1000*(A89^3)/12)/(0.8*T89*10^9+(E15*(1*1000*(A89^3)/12)))</f>
        <v>#DIV/0!</v>
      </c>
      <c r="T89" s="1"/>
      <c r="U89" s="1"/>
      <c r="V89" s="1"/>
      <c r="W89" s="32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25">
      <c r="A90" s="67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2"/>
      <c r="O90" s="2"/>
      <c r="P90" s="2"/>
      <c r="Q90" s="2" t="e">
        <f>(E57/((E26+E33+E40)/A90*(E57/E64)+0.83*(E15/E57)^0.333-(E26+E33+E40)/A90))</f>
        <v>#DIV/0!</v>
      </c>
      <c r="R90" s="2" t="e">
        <f>(((E15*(A90^3))/(12*(10^-3)*P90)))^0.25</f>
        <v>#DIV/0!</v>
      </c>
      <c r="S90" s="1" t="e">
        <f>(0.8*E15*1*1000*(A90^3)/12)/(0.8*T90*10^9+(E15*(1*1000*(A90^3)/12)))</f>
        <v>#DIV/0!</v>
      </c>
      <c r="T90" s="1"/>
      <c r="U90" s="1"/>
      <c r="V90" s="1"/>
      <c r="W90" s="32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25">
      <c r="A91" s="67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2"/>
      <c r="O91" s="2"/>
      <c r="P91" s="2"/>
      <c r="Q91" s="2" t="e">
        <f>(E57/((E26+E33+E40)/A91*(E57/E64)+0.83*(E15/E57)^0.333-(E26+E33+E40)/A91))</f>
        <v>#DIV/0!</v>
      </c>
      <c r="R91" s="2" t="e">
        <f>(((E15*(A91^3))/(12*(10^-3)*P91)))^0.25</f>
        <v>#DIV/0!</v>
      </c>
      <c r="S91" s="1" t="e">
        <f>(0.8*E15*1*1000*(A91^3)/12)/(0.8*T91*10^9+(E15*(1*1000*(A91^3)/12)))</f>
        <v>#DIV/0!</v>
      </c>
      <c r="T91" s="1"/>
      <c r="U91" s="1"/>
      <c r="V91" s="1"/>
      <c r="W91" s="32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25">
      <c r="A92" s="67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2"/>
      <c r="O92" s="2"/>
      <c r="P92" s="2"/>
      <c r="Q92" s="2" t="e">
        <f>(E57/((E26+E33+E40)/A92*(E57/E64)+0.83*(E15/E57)^0.333-(E26+E33+E40)/A92))</f>
        <v>#DIV/0!</v>
      </c>
      <c r="R92" s="2" t="e">
        <f>(((E15*(A92^3))/(12*(10^-3)*P92)))^0.25</f>
        <v>#DIV/0!</v>
      </c>
      <c r="S92" s="1" t="e">
        <f>(0.8*E15*1*1000*(A92^3)/12)/(0.8*T92*10^9+(E15*(1*1000*(A92^3)/12)))</f>
        <v>#DIV/0!</v>
      </c>
      <c r="T92" s="1"/>
      <c r="U92" s="1"/>
      <c r="V92" s="1"/>
      <c r="W92" s="32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25">
      <c r="A93" s="67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2"/>
      <c r="O93" s="2"/>
      <c r="P93" s="2"/>
      <c r="Q93" s="2" t="e">
        <f>(E57/((E26+E33+E40)/A93*(E57/E64)+0.83*(E15/E57)^0.333-(E26+E33+E40)/A93))</f>
        <v>#DIV/0!</v>
      </c>
      <c r="R93" s="2" t="e">
        <f>(((E15*(A93^3))/(12*(10^-3)*P93)))^0.25</f>
        <v>#DIV/0!</v>
      </c>
      <c r="S93" s="1" t="e">
        <f>(0.8*E15*1*1000*(A93^3)/12)/(0.8*T93*10^9+(E15*(1*1000*(A93^3)/12)))</f>
        <v>#DIV/0!</v>
      </c>
      <c r="T93" s="1"/>
      <c r="U93" s="1"/>
      <c r="V93" s="1"/>
      <c r="W93" s="32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25">
      <c r="A94" s="6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  <c r="N94" s="2"/>
      <c r="O94" s="2"/>
      <c r="P94" s="2"/>
      <c r="Q94" s="2" t="e">
        <f>(E57/((E26+E33+E40)/A94*(E57/E64)+0.83*(E15/E57)^0.333-(E26+E33+E40)/A94))</f>
        <v>#DIV/0!</v>
      </c>
      <c r="R94" s="2" t="e">
        <f>(((E15*(A94^3))/(12*(10^-3)*P94)))^0.25</f>
        <v>#DIV/0!</v>
      </c>
      <c r="S94" s="1" t="e">
        <f>(0.8*E15*1*1000*(A94^3)/12)/(0.8*T94*10^9+(E15*(1*1000*(A94^3)/12)))</f>
        <v>#DIV/0!</v>
      </c>
      <c r="T94" s="1"/>
      <c r="U94" s="1"/>
      <c r="V94" s="1"/>
      <c r="W94" s="32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25">
      <c r="A95" s="67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2"/>
      <c r="O95" s="2"/>
      <c r="P95" s="2"/>
      <c r="Q95" s="2" t="e">
        <f>(E57/((E26+E33+E40)/A95*(E57/E64)+0.83*(E15/E57)^0.333-(E26+E33+E40)/A95))</f>
        <v>#DIV/0!</v>
      </c>
      <c r="R95" s="2" t="e">
        <f>(((E15*(A95^3))/(12*(10^-3)*P95)))^0.25</f>
        <v>#DIV/0!</v>
      </c>
      <c r="S95" s="1" t="e">
        <f>(0.8*E15*1*1000*(A95^3)/12)/(0.8*T95*10^9+(E15*(1*1000*(A95^3)/12)))</f>
        <v>#DIV/0!</v>
      </c>
      <c r="T95" s="1"/>
      <c r="U95" s="1"/>
      <c r="V95" s="1"/>
      <c r="W95" s="32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25">
      <c r="A96" s="67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2"/>
      <c r="O96" s="2"/>
      <c r="P96" s="2"/>
      <c r="Q96" s="2" t="e">
        <f>(E57/((E26+E33+E40)/A96*(E57/E64)+0.83*(E15/E57)^0.333-(E26+E33+E40)/A96))</f>
        <v>#DIV/0!</v>
      </c>
      <c r="R96" s="2" t="e">
        <f>(((E15*(A96^3))/(12*(10^-3)*P96)))^0.25</f>
        <v>#DIV/0!</v>
      </c>
      <c r="S96" s="1" t="e">
        <f>(0.8*E15*1*1000*(A96^3)/12)/(0.8*T96*10^9+(E15*(1*1000*(A96^3)/12)))</f>
        <v>#DIV/0!</v>
      </c>
      <c r="T96" s="1"/>
      <c r="U96" s="1"/>
      <c r="V96" s="1"/>
      <c r="W96" s="32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25">
      <c r="A97" s="67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2"/>
      <c r="O97" s="2"/>
      <c r="P97" s="2"/>
      <c r="Q97" s="2" t="e">
        <f>(E57/((E26+E33+E40)/A97*(E57/E64)+0.83*(E15/E57)^0.333-(E26+E33+E40)/A97))</f>
        <v>#DIV/0!</v>
      </c>
      <c r="R97" s="2" t="e">
        <f>(((E15*(A97^3))/(12*(10^-3)*P97)))^0.25</f>
        <v>#DIV/0!</v>
      </c>
      <c r="S97" s="1" t="e">
        <f>(0.8*E15*1*1000*(A97^3)/12)/(0.8*T97*10^9+(E15*(1*1000*(A97^3)/12)))</f>
        <v>#DIV/0!</v>
      </c>
      <c r="T97" s="1"/>
      <c r="U97" s="1"/>
      <c r="V97" s="1"/>
      <c r="W97" s="32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25">
      <c r="A98" s="67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2"/>
      <c r="O98" s="2"/>
      <c r="P98" s="2"/>
      <c r="Q98" s="2" t="e">
        <f>(E57/((E26+E33+E40)/A98*(E57/E64)+0.83*(E15/E57)^0.333-(E26+E33+E40)/A98))</f>
        <v>#DIV/0!</v>
      </c>
      <c r="R98" s="2" t="e">
        <f>(((E15*(A98^3))/(12*(10^-3)*P98)))^0.25</f>
        <v>#DIV/0!</v>
      </c>
      <c r="S98" s="1" t="e">
        <f>(0.8*E15*1*1000*(A98^3)/12)/(0.8*T98*10^9+(E15*(1*1000*(A98^3)/12)))</f>
        <v>#DIV/0!</v>
      </c>
      <c r="T98" s="1"/>
      <c r="U98" s="1"/>
      <c r="V98" s="1"/>
      <c r="W98" s="32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25">
      <c r="A99" s="67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2"/>
      <c r="O99" s="2"/>
      <c r="P99" s="2"/>
      <c r="Q99" s="2" t="e">
        <f>(E57/((E26+E33+E40)/A99*(E57/E64)+0.83*(E15/E57)^0.333-(E26+E33+E40)/A99))</f>
        <v>#DIV/0!</v>
      </c>
      <c r="R99" s="2" t="e">
        <f>(((E15*(A99^3))/(12*(10^-3)*P99)))^0.25</f>
        <v>#DIV/0!</v>
      </c>
      <c r="S99" s="1" t="e">
        <f>(0.8*E15*1*1000*(A99^3)/12)/(0.8*T99*10^9+(E15*(1*1000*(A99^3)/12)))</f>
        <v>#DIV/0!</v>
      </c>
      <c r="T99" s="1"/>
      <c r="U99" s="1"/>
      <c r="V99" s="1"/>
      <c r="W99" s="32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25">
      <c r="A100" s="6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2"/>
      <c r="O100" s="2"/>
      <c r="P100" s="2"/>
      <c r="Q100" s="2" t="e">
        <f>(E57/((E26+E33+E40)/A100*(E57/E64)+0.83*(E15/E57)^0.333-(E26+E33+E40)/A100))</f>
        <v>#DIV/0!</v>
      </c>
      <c r="R100" s="2" t="e">
        <f>(((E15*(A100^3))/(12*(10^-3)*P100)))^0.25</f>
        <v>#DIV/0!</v>
      </c>
      <c r="S100" s="1" t="e">
        <f>(0.8*E15*1*1000*(A100^3)/12)/(0.8*T100*10^9+(E15*(1*1000*(A100^3)/12)))</f>
        <v>#DIV/0!</v>
      </c>
      <c r="T100" s="1"/>
      <c r="U100" s="1"/>
      <c r="V100" s="1"/>
      <c r="W100" s="32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25">
      <c r="A101" s="6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2"/>
      <c r="O101" s="2"/>
      <c r="P101" s="2"/>
      <c r="Q101" s="2" t="e">
        <f>(E57/((E26+E33+E40)/A101*(E57/E64)+0.83*(E15/E57)^0.333-(E26+E33+E40)/A101))</f>
        <v>#DIV/0!</v>
      </c>
      <c r="R101" s="2" t="e">
        <f>(((E15*(A101^3))/(12*(10^-3)*P101)))^0.25</f>
        <v>#DIV/0!</v>
      </c>
      <c r="S101" s="1" t="e">
        <f>(0.8*E15*1*1000*(A101^3)/12)/(0.8*T101*10^9+(E15*(1*1000*(A101^3)/12)))</f>
        <v>#DIV/0!</v>
      </c>
      <c r="T101" s="1"/>
      <c r="U101" s="1"/>
      <c r="V101" s="1"/>
      <c r="W101" s="32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25">
      <c r="A102" s="6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  <c r="N102" s="2"/>
      <c r="O102" s="2"/>
      <c r="P102" s="2"/>
      <c r="Q102" s="2" t="e">
        <f>(E57/((E26+E33+E40)/A102*(E57/E64)+0.83*(E15/E57)^0.333-(E26+E33+E40)/A102))</f>
        <v>#DIV/0!</v>
      </c>
      <c r="R102" s="2" t="e">
        <f>(((E15*(A102^3))/(12*(10^-3)*P102)))^0.25</f>
        <v>#DIV/0!</v>
      </c>
      <c r="S102" s="1" t="e">
        <f>(0.8*E15*1*1000*(A102^3)/12)/(0.8*T102*10^9+(E15*(1*1000*(A102^3)/12)))</f>
        <v>#DIV/0!</v>
      </c>
      <c r="T102" s="1"/>
      <c r="U102" s="1"/>
      <c r="V102" s="1"/>
      <c r="W102" s="32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25">
      <c r="A103" s="6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2"/>
      <c r="O103" s="2"/>
      <c r="P103" s="2"/>
      <c r="Q103" s="2" t="e">
        <f>(E57/((E26+E33+E40)/A103*(E57/E64)+0.83*(E15/E57)^0.333-(E26+E33+E40)/A103))</f>
        <v>#DIV/0!</v>
      </c>
      <c r="R103" s="2" t="e">
        <f>(((E15*(A103^3))/(12*(10^-3)*P103)))^0.25</f>
        <v>#DIV/0!</v>
      </c>
      <c r="S103" s="1" t="e">
        <f>(0.8*E15*1*1000*(A103^3)/12)/(0.8*T103*10^9+(E15*(1*1000*(A103^3)/12)))</f>
        <v>#DIV/0!</v>
      </c>
      <c r="T103" s="1"/>
      <c r="U103" s="1"/>
      <c r="V103" s="1"/>
      <c r="W103" s="32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25">
      <c r="A104" s="6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2"/>
      <c r="O104" s="2"/>
      <c r="P104" s="2"/>
      <c r="Q104" s="2" t="e">
        <f>(E57/((E26+E33+E40)/A104*(E57/E64)+0.83*(E15/E57)^0.333-(E26+E33+E40)/A104))</f>
        <v>#DIV/0!</v>
      </c>
      <c r="R104" s="2" t="e">
        <f>(((E15*(A104^3))/(12*(10^-3)*P104)))^0.25</f>
        <v>#DIV/0!</v>
      </c>
      <c r="S104" s="1" t="e">
        <f>(0.8*E15*1*1000*(A104^3)/12)/(0.8*T104*10^9+(E15*(1*1000*(A104^3)/12)))</f>
        <v>#DIV/0!</v>
      </c>
      <c r="T104" s="1"/>
      <c r="U104" s="1"/>
      <c r="V104" s="1"/>
      <c r="W104" s="32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25">
      <c r="A105" s="3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2"/>
      <c r="O105" s="2"/>
      <c r="P105" s="2"/>
      <c r="Q105" s="2" t="e">
        <f>(E57/((E26+E33+E40)/A105*(E57/E64)+0.83*(E15/E57)^0.333-(E26+E33+E40)/A105))</f>
        <v>#DIV/0!</v>
      </c>
      <c r="R105" s="2" t="e">
        <f>(((E15*(A105^3))/(12*(10^-3)*P105)))^0.25</f>
        <v>#DIV/0!</v>
      </c>
      <c r="S105" s="1" t="e">
        <f>((E15*10^3*(A105*10^-3)^3*0.08333)/(T105+(E15*10^3*(A105*10^-3)^3*0.08333)))</f>
        <v>#DIV/0!</v>
      </c>
      <c r="T105" s="1" t="e">
        <f>(D105*E51*300)/(36.7*V105)</f>
        <v>#DIV/0!</v>
      </c>
      <c r="U105" s="1" t="e">
        <f>(S105*E49*E51^2*6)/(10.5*(A105*10^-3)^2)</f>
        <v>#DIV/0!</v>
      </c>
      <c r="V105" s="1" t="e">
        <f>((1+(0.364*(E49+A105*10^-3*E53)*E51^2)/D105)^-1)</f>
        <v>#DIV/0!</v>
      </c>
      <c r="W105" s="32" t="e">
        <f>(E49*S105*E51^4)/(100.8*E15*10^3*(A105*10^-3)^3*0.08333)*10^3</f>
        <v>#DIV/0!</v>
      </c>
      <c r="X105" s="1" t="e">
        <f>(J105*E51^2)/(36.7*E15*10^3*(A105*10^-3)^3*0.08333)*10^3</f>
        <v>#DIV/0!</v>
      </c>
      <c r="Y105" s="1" t="e">
        <f>(J105/D105)*E105</f>
        <v>#DIV/0!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25">
      <c r="A106" s="74"/>
      <c r="B106" s="5"/>
      <c r="C106" s="5"/>
      <c r="D106" s="5"/>
      <c r="E106" s="5"/>
      <c r="F106" s="5"/>
      <c r="G106" s="2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"/>
      <c r="T106" s="1"/>
      <c r="U106" s="1"/>
      <c r="V106" s="1"/>
      <c r="W106" s="72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x14ac:dyDescent="0.25">
      <c r="A107" s="67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72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x14ac:dyDescent="0.25">
      <c r="A108" s="6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3.8" x14ac:dyDescent="0.25">
      <c r="A109" s="67"/>
      <c r="B109" s="2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3.8" x14ac:dyDescent="0.25">
      <c r="A110" s="67"/>
      <c r="B110" s="8"/>
      <c r="C110" s="8"/>
      <c r="D110" s="8"/>
      <c r="E110" s="8"/>
      <c r="F110" s="27"/>
      <c r="G110" s="28"/>
      <c r="H110" s="1"/>
      <c r="I110" s="1"/>
      <c r="J110" s="1"/>
      <c r="K110" s="1"/>
      <c r="L110" s="1"/>
      <c r="M110" s="1"/>
      <c r="N110" s="8"/>
      <c r="O110" s="8"/>
      <c r="P110" s="8"/>
      <c r="Q110" s="8"/>
      <c r="R110" s="27" t="s">
        <v>32</v>
      </c>
      <c r="S110" s="2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25">
      <c r="A111" s="67"/>
      <c r="B111" s="1"/>
      <c r="C111" s="2"/>
      <c r="D111" s="1"/>
      <c r="E111" s="2"/>
      <c r="F111" s="2"/>
      <c r="G111" s="2"/>
      <c r="H111" s="1"/>
      <c r="I111" s="1"/>
      <c r="J111" s="1"/>
      <c r="K111" s="1"/>
      <c r="L111" s="1"/>
      <c r="M111" s="1"/>
      <c r="N111" s="4"/>
      <c r="O111" s="28"/>
      <c r="P111" s="4"/>
      <c r="Q111" s="28" t="s">
        <v>21</v>
      </c>
      <c r="R111" s="28" t="s">
        <v>33</v>
      </c>
      <c r="S111" s="28" t="s">
        <v>34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25">
      <c r="A112" s="67"/>
      <c r="B112" s="2"/>
      <c r="C112" s="2"/>
      <c r="D112" s="2"/>
      <c r="E112" s="2"/>
      <c r="F112" s="2"/>
      <c r="G112" s="2"/>
      <c r="H112" s="1"/>
      <c r="I112" s="1"/>
      <c r="J112" s="1"/>
      <c r="K112" s="1"/>
      <c r="L112" s="1"/>
      <c r="M112" s="1"/>
      <c r="N112" s="2"/>
      <c r="O112" s="2"/>
      <c r="P112" s="2"/>
      <c r="Q112" s="2" t="s">
        <v>18</v>
      </c>
      <c r="R112" s="2" t="s">
        <v>19</v>
      </c>
      <c r="S112" s="2" t="s">
        <v>18</v>
      </c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25">
      <c r="A113" s="67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2"/>
      <c r="O113" s="2"/>
      <c r="P113" s="2"/>
      <c r="Q113" s="2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25">
      <c r="A114" s="67"/>
      <c r="B114" s="2"/>
      <c r="C114" s="2"/>
      <c r="D114" s="2"/>
      <c r="E114" s="2"/>
      <c r="F114" s="2"/>
      <c r="G114" s="2"/>
      <c r="H114" s="1"/>
      <c r="I114" s="1"/>
      <c r="J114" s="1"/>
      <c r="K114" s="1"/>
      <c r="L114" s="1"/>
      <c r="M114" s="1"/>
      <c r="N114" s="2"/>
      <c r="O114" s="2"/>
      <c r="P114" s="2"/>
      <c r="Q114" s="2" t="e">
        <f>ROUND((P114/N114)*C114,2)</f>
        <v>#DIV/0!</v>
      </c>
      <c r="R114" s="2">
        <f>ROUND((0.66663*(0.75*(E15/30000))*A80*6.28318*((E55/3.14159)^0.5+A80)*0.5+(E55*E43))*10^-3,2)</f>
        <v>0</v>
      </c>
      <c r="S114" s="2" t="e">
        <f>ROUND((R114/N114)*O114,2)</f>
        <v>#DIV/0!</v>
      </c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25">
      <c r="A115" s="1"/>
      <c r="B115" s="2"/>
      <c r="C115" s="2"/>
      <c r="D115" s="2"/>
      <c r="E115" s="2"/>
      <c r="F115" s="2"/>
      <c r="G115" s="2"/>
      <c r="H115" s="1"/>
      <c r="I115" s="1"/>
      <c r="J115" s="1"/>
      <c r="K115" s="1"/>
      <c r="L115" s="1"/>
      <c r="M115" s="1"/>
      <c r="N115" s="2"/>
      <c r="O115" s="2"/>
      <c r="P115" s="2"/>
      <c r="Q115" s="2" t="e">
        <f t="shared" ref="Q115:Q137" si="0">ROUND((P115/N115)*C115,2)</f>
        <v>#DIV/0!</v>
      </c>
      <c r="R115" s="2">
        <f>ROUND((0.66663*(0.75*(E15/30000))*A81*6.28318*((E55/3.14159)^0.5+A81)*0.5+(E55*E43))*10^-3,2)</f>
        <v>0</v>
      </c>
      <c r="S115" s="2" t="e">
        <f t="shared" ref="S115:S137" si="1">ROUND((R115/N115)*O115,2)</f>
        <v>#DIV/0!</v>
      </c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25">
      <c r="A116" s="1"/>
      <c r="B116" s="2"/>
      <c r="C116" s="2"/>
      <c r="D116" s="2"/>
      <c r="E116" s="2"/>
      <c r="F116" s="2"/>
      <c r="G116" s="2"/>
      <c r="H116" s="1"/>
      <c r="I116" s="1"/>
      <c r="J116" s="1"/>
      <c r="K116" s="1"/>
      <c r="L116" s="1"/>
      <c r="M116" s="1"/>
      <c r="N116" s="2"/>
      <c r="O116" s="2"/>
      <c r="P116" s="2"/>
      <c r="Q116" s="2" t="e">
        <f t="shared" si="0"/>
        <v>#DIV/0!</v>
      </c>
      <c r="R116" s="2">
        <f>ROUND((0.66663*(0.75*(E15/30000))*A82*6.28318*((E55/3.14159)^0.5+A82)*0.5+(E55*E43))*10^-3,2)</f>
        <v>0</v>
      </c>
      <c r="S116" s="2" t="e">
        <f t="shared" si="1"/>
        <v>#DIV/0!</v>
      </c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25">
      <c r="A117" s="1"/>
      <c r="B117" s="2"/>
      <c r="C117" s="2"/>
      <c r="D117" s="2"/>
      <c r="E117" s="2"/>
      <c r="F117" s="2"/>
      <c r="G117" s="2"/>
      <c r="H117" s="1"/>
      <c r="I117" s="1"/>
      <c r="J117" s="1"/>
      <c r="K117" s="1"/>
      <c r="L117" s="1"/>
      <c r="M117" s="1"/>
      <c r="N117" s="2"/>
      <c r="O117" s="2"/>
      <c r="P117" s="2"/>
      <c r="Q117" s="2" t="e">
        <f t="shared" si="0"/>
        <v>#DIV/0!</v>
      </c>
      <c r="R117" s="2">
        <f>ROUND((0.66663*(0.75*(E15/30000))*A83*6.28318*((E55/3.14159)^0.5+A83)*0.5+(E55*E43))*10^-3,2)</f>
        <v>0</v>
      </c>
      <c r="S117" s="2" t="e">
        <f t="shared" si="1"/>
        <v>#DIV/0!</v>
      </c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25">
      <c r="A118" s="1"/>
      <c r="B118" s="2"/>
      <c r="C118" s="2"/>
      <c r="D118" s="2"/>
      <c r="E118" s="2"/>
      <c r="F118" s="2"/>
      <c r="G118" s="2"/>
      <c r="H118" s="1"/>
      <c r="I118" s="1"/>
      <c r="J118" s="1"/>
      <c r="K118" s="1"/>
      <c r="L118" s="1"/>
      <c r="M118" s="1"/>
      <c r="N118" s="2"/>
      <c r="O118" s="2"/>
      <c r="P118" s="2"/>
      <c r="Q118" s="2" t="e">
        <f t="shared" si="0"/>
        <v>#DIV/0!</v>
      </c>
      <c r="R118" s="2">
        <f>ROUND((0.66663*(0.75*(E15/30000))*A84*6.28318*((E55/3.14159)^0.5+A84)*0.5+(E55*E43))*10^-3,2)</f>
        <v>0</v>
      </c>
      <c r="S118" s="2" t="e">
        <f t="shared" si="1"/>
        <v>#DIV/0!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25">
      <c r="A119" s="1"/>
      <c r="B119" s="2"/>
      <c r="C119" s="2"/>
      <c r="D119" s="2"/>
      <c r="E119" s="2"/>
      <c r="F119" s="2"/>
      <c r="G119" s="2"/>
      <c r="H119" s="1"/>
      <c r="I119" s="1"/>
      <c r="J119" s="1"/>
      <c r="K119" s="1"/>
      <c r="L119" s="1"/>
      <c r="M119" s="1"/>
      <c r="N119" s="2"/>
      <c r="O119" s="2"/>
      <c r="P119" s="2"/>
      <c r="Q119" s="2" t="e">
        <f t="shared" si="0"/>
        <v>#DIV/0!</v>
      </c>
      <c r="R119" s="2">
        <f>ROUND((0.66663*(0.75*(E15/30000))*A85*6.28318*((E55/3.14159)^0.5+A85)*0.5+(E55*E43))*10^-3,2)</f>
        <v>0</v>
      </c>
      <c r="S119" s="2" t="e">
        <f t="shared" si="1"/>
        <v>#DIV/0!</v>
      </c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25">
      <c r="A120" s="1"/>
      <c r="B120" s="2"/>
      <c r="C120" s="2"/>
      <c r="D120" s="2"/>
      <c r="E120" s="2"/>
      <c r="F120" s="2"/>
      <c r="G120" s="2"/>
      <c r="H120" s="1"/>
      <c r="I120" s="1"/>
      <c r="J120" s="1"/>
      <c r="K120" s="1"/>
      <c r="L120" s="1"/>
      <c r="M120" s="1"/>
      <c r="N120" s="2"/>
      <c r="O120" s="2"/>
      <c r="P120" s="2"/>
      <c r="Q120" s="2" t="e">
        <f t="shared" si="0"/>
        <v>#DIV/0!</v>
      </c>
      <c r="R120" s="2">
        <f>ROUND((0.66663*(0.75*(E15/30000))*A86*6.28318*((E55/3.14159)^0.5+A86)*0.5+(E55*E43))*10^-3,2)</f>
        <v>0</v>
      </c>
      <c r="S120" s="2" t="e">
        <f t="shared" si="1"/>
        <v>#DIV/0!</v>
      </c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25">
      <c r="A121" s="1"/>
      <c r="B121" s="2"/>
      <c r="C121" s="2"/>
      <c r="D121" s="2"/>
      <c r="E121" s="2"/>
      <c r="F121" s="2"/>
      <c r="G121" s="2"/>
      <c r="H121" s="1"/>
      <c r="I121" s="1"/>
      <c r="J121" s="1"/>
      <c r="K121" s="1"/>
      <c r="L121" s="1"/>
      <c r="M121" s="1"/>
      <c r="N121" s="2"/>
      <c r="O121" s="2"/>
      <c r="P121" s="2"/>
      <c r="Q121" s="2" t="e">
        <f t="shared" si="0"/>
        <v>#DIV/0!</v>
      </c>
      <c r="R121" s="2">
        <f>ROUND((0.66663*(0.75*(E15/30000))*A87*6.28318*((E55/3.14159)^0.5+A87)*0.5+(E55*E43))*10^-3,2)</f>
        <v>0</v>
      </c>
      <c r="S121" s="2" t="e">
        <f t="shared" si="1"/>
        <v>#DIV/0!</v>
      </c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25">
      <c r="A122" s="1"/>
      <c r="B122" s="2"/>
      <c r="C122" s="2"/>
      <c r="D122" s="2"/>
      <c r="E122" s="2"/>
      <c r="F122" s="2"/>
      <c r="G122" s="2"/>
      <c r="H122" s="1"/>
      <c r="I122" s="1"/>
      <c r="J122" s="1"/>
      <c r="K122" s="1"/>
      <c r="L122" s="1"/>
      <c r="M122" s="1"/>
      <c r="N122" s="2"/>
      <c r="O122" s="2"/>
      <c r="P122" s="2"/>
      <c r="Q122" s="2" t="e">
        <f t="shared" si="0"/>
        <v>#DIV/0!</v>
      </c>
      <c r="R122" s="2">
        <f>ROUND((0.66663*(0.75*(E15/30000))*A88*6.28318*((E55/3.14159)^0.5+A88)*0.5+(E55*E43))*10^-3,2)</f>
        <v>0</v>
      </c>
      <c r="S122" s="2" t="e">
        <f t="shared" si="1"/>
        <v>#DIV/0!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25">
      <c r="A123" s="1"/>
      <c r="B123" s="2"/>
      <c r="C123" s="2"/>
      <c r="D123" s="2"/>
      <c r="E123" s="2"/>
      <c r="F123" s="2"/>
      <c r="G123" s="2"/>
      <c r="H123" s="1"/>
      <c r="I123" s="1"/>
      <c r="J123" s="1"/>
      <c r="K123" s="1"/>
      <c r="L123" s="1"/>
      <c r="M123" s="1"/>
      <c r="N123" s="2"/>
      <c r="O123" s="2"/>
      <c r="P123" s="2"/>
      <c r="Q123" s="2" t="e">
        <f t="shared" si="0"/>
        <v>#DIV/0!</v>
      </c>
      <c r="R123" s="2">
        <f>ROUND((0.66663*(0.75*(E15/30000))*A89*6.28318*((E55/3.14159)^0.5+A89)*0.5+(E55*E43))*10^-3,2)</f>
        <v>0</v>
      </c>
      <c r="S123" s="2" t="e">
        <f t="shared" si="1"/>
        <v>#DIV/0!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25">
      <c r="A124" s="1"/>
      <c r="B124" s="2"/>
      <c r="C124" s="2"/>
      <c r="D124" s="2"/>
      <c r="E124" s="2"/>
      <c r="F124" s="2"/>
      <c r="G124" s="2"/>
      <c r="H124" s="1"/>
      <c r="I124" s="1"/>
      <c r="J124" s="1"/>
      <c r="K124" s="1"/>
      <c r="L124" s="1"/>
      <c r="M124" s="1"/>
      <c r="N124" s="2"/>
      <c r="O124" s="2"/>
      <c r="P124" s="2"/>
      <c r="Q124" s="2" t="e">
        <f t="shared" si="0"/>
        <v>#DIV/0!</v>
      </c>
      <c r="R124" s="2">
        <f>ROUND((0.66663*(0.75*(E15/30000))*A90*6.28318*((E55/3.14159)^0.5+A90)*0.5+(E55*E43))*10^-3,2)</f>
        <v>0</v>
      </c>
      <c r="S124" s="2" t="e">
        <f t="shared" si="1"/>
        <v>#DIV/0!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25">
      <c r="A125" s="1"/>
      <c r="B125" s="2"/>
      <c r="C125" s="2"/>
      <c r="D125" s="2"/>
      <c r="E125" s="2"/>
      <c r="F125" s="2"/>
      <c r="G125" s="2"/>
      <c r="H125" s="1"/>
      <c r="I125" s="1"/>
      <c r="J125" s="1"/>
      <c r="K125" s="1"/>
      <c r="L125" s="1"/>
      <c r="M125" s="1"/>
      <c r="N125" s="2"/>
      <c r="O125" s="2"/>
      <c r="P125" s="2"/>
      <c r="Q125" s="2" t="e">
        <f t="shared" si="0"/>
        <v>#DIV/0!</v>
      </c>
      <c r="R125" s="2">
        <f>ROUND((0.66663*(0.75*(E15/30000))*A91*6.28318*((E55/3.14159)^0.5+A91)*0.5+(E55*E43))*10^-3,2)</f>
        <v>0</v>
      </c>
      <c r="S125" s="2" t="e">
        <f t="shared" si="1"/>
        <v>#DIV/0!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25">
      <c r="A126" s="1"/>
      <c r="B126" s="2"/>
      <c r="C126" s="2"/>
      <c r="D126" s="2"/>
      <c r="E126" s="2"/>
      <c r="F126" s="2"/>
      <c r="G126" s="2"/>
      <c r="H126" s="1"/>
      <c r="I126" s="2"/>
      <c r="J126" s="1"/>
      <c r="K126" s="1"/>
      <c r="L126" s="1"/>
      <c r="M126" s="1"/>
      <c r="N126" s="2"/>
      <c r="O126" s="2"/>
      <c r="P126" s="2"/>
      <c r="Q126" s="2" t="e">
        <f t="shared" si="0"/>
        <v>#DIV/0!</v>
      </c>
      <c r="R126" s="2">
        <f>ROUND((0.66663*(0.75*(E15/30000))*A92*6.28318*((E55/3.14159)^0.5+A92)*0.5+(E55*E43))*10^-3,2)</f>
        <v>0</v>
      </c>
      <c r="S126" s="2" t="e">
        <f t="shared" si="1"/>
        <v>#DIV/0!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25">
      <c r="A127" s="1"/>
      <c r="B127" s="2"/>
      <c r="C127" s="2"/>
      <c r="D127" s="2"/>
      <c r="E127" s="2"/>
      <c r="F127" s="2"/>
      <c r="G127" s="2"/>
      <c r="H127" s="1"/>
      <c r="I127" s="1"/>
      <c r="J127" s="1"/>
      <c r="K127" s="1"/>
      <c r="L127" s="1"/>
      <c r="M127" s="1"/>
      <c r="N127" s="2"/>
      <c r="O127" s="2"/>
      <c r="P127" s="2"/>
      <c r="Q127" s="2" t="e">
        <f t="shared" si="0"/>
        <v>#DIV/0!</v>
      </c>
      <c r="R127" s="2">
        <f>ROUND((0.66663*(0.75*(E15/30000))*A93*6.28318*((E55/3.14159)^0.5+A93)*0.5+(E55*E43))*10^-3,2)</f>
        <v>0</v>
      </c>
      <c r="S127" s="2" t="e">
        <f t="shared" si="1"/>
        <v>#DIV/0!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25">
      <c r="A128" s="1"/>
      <c r="B128" s="2"/>
      <c r="C128" s="2"/>
      <c r="D128" s="2"/>
      <c r="E128" s="2"/>
      <c r="F128" s="2"/>
      <c r="G128" s="2"/>
      <c r="H128" s="1"/>
      <c r="I128" s="1"/>
      <c r="J128" s="1"/>
      <c r="K128" s="1"/>
      <c r="L128" s="1"/>
      <c r="M128" s="1"/>
      <c r="N128" s="2"/>
      <c r="O128" s="2"/>
      <c r="P128" s="2"/>
      <c r="Q128" s="2" t="e">
        <f t="shared" si="0"/>
        <v>#DIV/0!</v>
      </c>
      <c r="R128" s="2">
        <f>ROUND((0.66663*(0.75*(E15/30000))*A94*6.28318*((E55/3.14159)^0.5+A94)*0.5+(E55*E43))*10^-3,2)</f>
        <v>0</v>
      </c>
      <c r="S128" s="2" t="e">
        <f t="shared" si="1"/>
        <v>#DIV/0!</v>
      </c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25">
      <c r="A129" s="1"/>
      <c r="B129" s="2"/>
      <c r="C129" s="2"/>
      <c r="D129" s="2"/>
      <c r="E129" s="2"/>
      <c r="F129" s="2"/>
      <c r="G129" s="2"/>
      <c r="H129" s="1"/>
      <c r="I129" s="1"/>
      <c r="J129" s="1"/>
      <c r="K129" s="1"/>
      <c r="L129" s="1"/>
      <c r="M129" s="1"/>
      <c r="N129" s="2"/>
      <c r="O129" s="2"/>
      <c r="P129" s="2"/>
      <c r="Q129" s="2" t="e">
        <f t="shared" si="0"/>
        <v>#DIV/0!</v>
      </c>
      <c r="R129" s="2">
        <f>ROUND((0.66663*(0.75*(E15/30000))*A95*6.28318*((E55/3.14159)^0.5+A95)*0.5+(E68*E43))*10^-3,2)</f>
        <v>0</v>
      </c>
      <c r="S129" s="2" t="e">
        <f t="shared" si="1"/>
        <v>#DIV/0!</v>
      </c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25">
      <c r="A130" s="1"/>
      <c r="B130" s="2"/>
      <c r="C130" s="2"/>
      <c r="D130" s="2"/>
      <c r="E130" s="2"/>
      <c r="F130" s="2"/>
      <c r="G130" s="2"/>
      <c r="H130" s="1"/>
      <c r="I130" s="1"/>
      <c r="J130" s="1"/>
      <c r="K130" s="1"/>
      <c r="L130" s="1"/>
      <c r="M130" s="1"/>
      <c r="N130" s="2"/>
      <c r="O130" s="2"/>
      <c r="P130" s="2"/>
      <c r="Q130" s="2" t="e">
        <f t="shared" si="0"/>
        <v>#DIV/0!</v>
      </c>
      <c r="R130" s="2">
        <f>ROUND((0.66663*(0.75*(E15/30000))*A96*6.28318*((E55/3.14159)^0.5+A96)*0.5+(E55*E43))*10^-3,2)</f>
        <v>0</v>
      </c>
      <c r="S130" s="2" t="e">
        <f t="shared" si="1"/>
        <v>#DIV/0!</v>
      </c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25">
      <c r="A131" s="1"/>
      <c r="B131" s="2"/>
      <c r="C131" s="2"/>
      <c r="D131" s="2"/>
      <c r="E131" s="2"/>
      <c r="F131" s="2"/>
      <c r="G131" s="2"/>
      <c r="H131" s="1"/>
      <c r="I131" s="1"/>
      <c r="J131" s="1"/>
      <c r="K131" s="1"/>
      <c r="L131" s="1"/>
      <c r="M131" s="1"/>
      <c r="N131" s="2"/>
      <c r="O131" s="2"/>
      <c r="P131" s="2"/>
      <c r="Q131" s="2" t="e">
        <f t="shared" si="0"/>
        <v>#DIV/0!</v>
      </c>
      <c r="R131" s="2">
        <f>ROUND((0.66663*(0.75*(E15/30000))*A97*6.28318*((E55/3.14159)^0.5+A97)*0.5+(E55*E43))*10^-3,2)</f>
        <v>0</v>
      </c>
      <c r="S131" s="2" t="e">
        <f t="shared" si="1"/>
        <v>#DIV/0!</v>
      </c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25">
      <c r="A132" s="1"/>
      <c r="B132" s="2"/>
      <c r="C132" s="2"/>
      <c r="D132" s="2"/>
      <c r="E132" s="2"/>
      <c r="F132" s="2"/>
      <c r="G132" s="2"/>
      <c r="H132" s="1"/>
      <c r="I132" s="1"/>
      <c r="J132" s="1"/>
      <c r="K132" s="1"/>
      <c r="L132" s="1"/>
      <c r="M132" s="1"/>
      <c r="N132" s="2"/>
      <c r="O132" s="2"/>
      <c r="P132" s="2"/>
      <c r="Q132" s="2" t="e">
        <f t="shared" si="0"/>
        <v>#DIV/0!</v>
      </c>
      <c r="R132" s="2">
        <f>ROUND((0.66663*(0.75*(E15/30000))*A98*6.28318*((E55/3.14159)^0.5+A98)*0.5+(E55*E43))*10^-3,2)</f>
        <v>0</v>
      </c>
      <c r="S132" s="2" t="e">
        <f t="shared" si="1"/>
        <v>#DIV/0!</v>
      </c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25">
      <c r="A133" s="1"/>
      <c r="B133" s="2"/>
      <c r="C133" s="2"/>
      <c r="D133" s="2"/>
      <c r="E133" s="2"/>
      <c r="F133" s="2"/>
      <c r="G133" s="2"/>
      <c r="H133" s="1"/>
      <c r="I133" s="1"/>
      <c r="J133" s="1"/>
      <c r="K133" s="1"/>
      <c r="L133" s="1"/>
      <c r="M133" s="1"/>
      <c r="N133" s="2"/>
      <c r="O133" s="2"/>
      <c r="P133" s="2"/>
      <c r="Q133" s="2" t="e">
        <f t="shared" si="0"/>
        <v>#DIV/0!</v>
      </c>
      <c r="R133" s="2">
        <f>ROUND((0.66663*(0.75*(E15/30000))*A99*6.28318*((E55/3.14159)^0.5+A99)*0.5+(E55*E43))*10^-3,2)</f>
        <v>0</v>
      </c>
      <c r="S133" s="2" t="e">
        <f t="shared" si="1"/>
        <v>#DIV/0!</v>
      </c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25">
      <c r="A134" s="1"/>
      <c r="B134" s="2"/>
      <c r="C134" s="2"/>
      <c r="D134" s="2"/>
      <c r="E134" s="2"/>
      <c r="F134" s="2"/>
      <c r="G134" s="2"/>
      <c r="H134" s="1"/>
      <c r="I134" s="1"/>
      <c r="J134" s="1"/>
      <c r="K134" s="1"/>
      <c r="L134" s="1"/>
      <c r="M134" s="1"/>
      <c r="N134" s="2"/>
      <c r="O134" s="2"/>
      <c r="P134" s="2"/>
      <c r="Q134" s="2" t="e">
        <f t="shared" si="0"/>
        <v>#DIV/0!</v>
      </c>
      <c r="R134" s="2">
        <f>ROUND((0.66663*(0.75*(E15/30000))*A100*6.28318*((E55/3.14159)^0.5+A100)*0.5+(E55*E43))*10^-3,2)</f>
        <v>0</v>
      </c>
      <c r="S134" s="2" t="e">
        <f t="shared" si="1"/>
        <v>#DIV/0!</v>
      </c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25">
      <c r="A135" s="1"/>
      <c r="B135" s="2"/>
      <c r="C135" s="2"/>
      <c r="D135" s="2"/>
      <c r="E135" s="2"/>
      <c r="F135" s="2"/>
      <c r="G135" s="2"/>
      <c r="H135" s="1"/>
      <c r="I135" s="1"/>
      <c r="J135" s="1"/>
      <c r="K135" s="1"/>
      <c r="L135" s="1"/>
      <c r="M135" s="1"/>
      <c r="N135" s="2"/>
      <c r="O135" s="2"/>
      <c r="P135" s="2"/>
      <c r="Q135" s="2" t="e">
        <f t="shared" si="0"/>
        <v>#DIV/0!</v>
      </c>
      <c r="R135" s="2">
        <f>ROUND((0.66663*(0.75*(E15/30000))*A101*6.28318*((E55/3.14159)^0.5+A101)*0.5+(E55*E43))*10^-3,2)</f>
        <v>0</v>
      </c>
      <c r="S135" s="2" t="e">
        <f t="shared" si="1"/>
        <v>#DIV/0!</v>
      </c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25">
      <c r="A136" s="1"/>
      <c r="B136" s="2"/>
      <c r="C136" s="2"/>
      <c r="D136" s="2"/>
      <c r="E136" s="2"/>
      <c r="F136" s="2"/>
      <c r="G136" s="2"/>
      <c r="H136" s="1"/>
      <c r="I136" s="1"/>
      <c r="J136" s="1"/>
      <c r="K136" s="1"/>
      <c r="L136" s="1"/>
      <c r="M136" s="1"/>
      <c r="N136" s="2"/>
      <c r="O136" s="2"/>
      <c r="P136" s="2"/>
      <c r="Q136" s="2" t="e">
        <f t="shared" si="0"/>
        <v>#DIV/0!</v>
      </c>
      <c r="R136" s="2">
        <f>ROUND((0.66663*(0.75*(E15/30000))*A102*6.28318*((E55/3.14159)^0.5+A102)*0.5+(E55*E43))*10^-3,2)</f>
        <v>0</v>
      </c>
      <c r="S136" s="2" t="e">
        <f t="shared" si="1"/>
        <v>#DIV/0!</v>
      </c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25">
      <c r="A137" s="1"/>
      <c r="B137" s="2"/>
      <c r="C137" s="2"/>
      <c r="D137" s="2"/>
      <c r="E137" s="2"/>
      <c r="F137" s="2"/>
      <c r="G137" s="2"/>
      <c r="H137" s="1"/>
      <c r="I137" s="1"/>
      <c r="J137" s="1"/>
      <c r="K137" s="1"/>
      <c r="L137" s="1"/>
      <c r="M137" s="1"/>
      <c r="N137" s="2"/>
      <c r="O137" s="2"/>
      <c r="P137" s="2"/>
      <c r="Q137" s="2" t="e">
        <f t="shared" si="0"/>
        <v>#DIV/0!</v>
      </c>
      <c r="R137" s="1">
        <f>ROUND((0.66663*(0.75*(E15/30000))*A103*6.28318*((E55/3.14159)^0.5+A103)*0.5+(E55*E43))*10^-3,2)</f>
        <v>0</v>
      </c>
      <c r="S137" s="2" t="e">
        <f t="shared" si="1"/>
        <v>#DIV/0!</v>
      </c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25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2"/>
      <c r="Q138" s="2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Cellular Glass Engineering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Bangerter</dc:creator>
  <cp:lastModifiedBy>Heinz</cp:lastModifiedBy>
  <cp:lastPrinted>2018-03-29T13:21:51Z</cp:lastPrinted>
  <dcterms:created xsi:type="dcterms:W3CDTF">2012-05-28T08:46:55Z</dcterms:created>
  <dcterms:modified xsi:type="dcterms:W3CDTF">2018-03-30T11:22:20Z</dcterms:modified>
</cp:coreProperties>
</file>