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Heinz\Desktop\"/>
    </mc:Choice>
  </mc:AlternateContent>
  <xr:revisionPtr revIDLastSave="0" documentId="13_ncr:1_{3250A657-BC86-43C3-84A3-4C23F8C32274}" xr6:coauthVersionLast="37" xr6:coauthVersionMax="37" xr10:uidLastSave="{00000000-0000-0000-0000-000000000000}"/>
  <bookViews>
    <workbookView xWindow="0" yWindow="0" windowWidth="23040" windowHeight="9060" xr2:uid="{00000000-000D-0000-FFFF-FFFF00000000}"/>
  </bookViews>
  <sheets>
    <sheet name="EINGABEN" sheetId="1" r:id="rId1"/>
    <sheet name="FALL 1" sheetId="2" r:id="rId2"/>
    <sheet name="FALL 2" sheetId="3" r:id="rId3"/>
    <sheet name="FALL 5" sheetId="4" r:id="rId4"/>
    <sheet name="FALL 7" sheetId="5" r:id="rId5"/>
    <sheet name="FALL 8" sheetId="7" r:id="rId6"/>
    <sheet name="FALL 9" sheetId="6" r:id="rId7"/>
    <sheet name="FALL 10" sheetId="8" r:id="rId8"/>
    <sheet name="FALL 11" sheetId="10" r:id="rId9"/>
    <sheet name="FALL 12" sheetId="9" r:id="rId10"/>
  </sheets>
  <definedNames>
    <definedName name="_xlnm._FilterDatabase" localSheetId="0" hidden="1">EINGABEN!$A$1:$I$47</definedName>
    <definedName name="_xlnm.Print_Area" localSheetId="0">EINGABEN!$A$1:$J$46</definedName>
    <definedName name="_xlnm.Print_Area" localSheetId="1">'FALL 1'!$A$16:$F$64</definedName>
    <definedName name="_xlnm.Print_Area" localSheetId="7">'FALL 10'!$A$16:$F$64</definedName>
    <definedName name="_xlnm.Print_Area" localSheetId="8">'FALL 11'!$A$16:$F$64</definedName>
    <definedName name="_xlnm.Print_Area" localSheetId="9">'FALL 12'!$A$16:$F$64</definedName>
    <definedName name="_xlnm.Print_Area" localSheetId="2">'FALL 2'!$A$16:$F$64</definedName>
    <definedName name="_xlnm.Print_Area" localSheetId="3">'FALL 5'!$A$16:$F$63</definedName>
    <definedName name="_xlnm.Print_Area" localSheetId="4">'FALL 7'!$A$16:$F$64</definedName>
    <definedName name="_xlnm.Print_Area" localSheetId="5">'FALL 8'!$A$16:$F$64</definedName>
    <definedName name="_xlnm.Print_Area" localSheetId="6">'FALL 9'!$A$16:$F$64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56" i="10" l="1"/>
  <c r="C56" i="8"/>
  <c r="C56" i="6"/>
  <c r="C56" i="7"/>
  <c r="C56" i="5"/>
  <c r="C55" i="4"/>
  <c r="C56" i="3"/>
  <c r="C56" i="2"/>
  <c r="C56" i="9"/>
  <c r="E45" i="9" l="1"/>
  <c r="E44" i="9"/>
  <c r="E43" i="9"/>
  <c r="E42" i="9"/>
  <c r="E41" i="9"/>
  <c r="E40" i="9"/>
  <c r="E39" i="9"/>
  <c r="E38" i="9"/>
  <c r="E37" i="9"/>
  <c r="E36" i="9"/>
  <c r="E35" i="9"/>
  <c r="E34" i="9"/>
  <c r="E33" i="9"/>
  <c r="E32" i="9"/>
  <c r="E31" i="9"/>
  <c r="E30" i="9"/>
  <c r="E29" i="9"/>
  <c r="E28" i="9"/>
  <c r="E27" i="9"/>
  <c r="E26" i="9"/>
  <c r="E25" i="9"/>
  <c r="E24" i="9"/>
  <c r="E23" i="9"/>
  <c r="E22" i="9"/>
  <c r="E21" i="9"/>
  <c r="E20" i="9"/>
  <c r="E19" i="9"/>
  <c r="E18" i="9"/>
  <c r="E17" i="9"/>
  <c r="E16" i="9"/>
  <c r="E15" i="9"/>
  <c r="E14" i="9"/>
  <c r="E13" i="9"/>
  <c r="E12" i="9"/>
  <c r="E11" i="9"/>
  <c r="E10" i="9"/>
  <c r="E9" i="9"/>
  <c r="E8" i="9"/>
  <c r="E7" i="9"/>
  <c r="E45" i="10"/>
  <c r="E44" i="10"/>
  <c r="E43" i="10"/>
  <c r="E42" i="10"/>
  <c r="E41" i="10"/>
  <c r="E40" i="10"/>
  <c r="E39" i="10"/>
  <c r="E38" i="10"/>
  <c r="E37" i="10"/>
  <c r="E36" i="10"/>
  <c r="E35" i="10"/>
  <c r="E34" i="10"/>
  <c r="E33" i="10"/>
  <c r="E32" i="10"/>
  <c r="E31" i="10"/>
  <c r="E30" i="10"/>
  <c r="E29" i="10"/>
  <c r="E28" i="10"/>
  <c r="E27" i="10"/>
  <c r="E26" i="10"/>
  <c r="E25" i="10"/>
  <c r="E24" i="10"/>
  <c r="E23" i="10"/>
  <c r="E22" i="10"/>
  <c r="E21" i="10"/>
  <c r="E20" i="10"/>
  <c r="E19" i="10"/>
  <c r="E18" i="10"/>
  <c r="E17" i="10"/>
  <c r="E16" i="10"/>
  <c r="E15" i="10"/>
  <c r="E14" i="10"/>
  <c r="E13" i="10"/>
  <c r="E12" i="10"/>
  <c r="E11" i="10"/>
  <c r="E10" i="10"/>
  <c r="E9" i="10"/>
  <c r="E8" i="10"/>
  <c r="E7" i="10"/>
  <c r="E45" i="7"/>
  <c r="E44" i="7"/>
  <c r="E43" i="7"/>
  <c r="E42" i="7"/>
  <c r="E41" i="7"/>
  <c r="E40" i="7"/>
  <c r="E39" i="7"/>
  <c r="E38" i="7"/>
  <c r="E37" i="7"/>
  <c r="E36" i="7"/>
  <c r="E35" i="7"/>
  <c r="E34" i="7"/>
  <c r="E33" i="7"/>
  <c r="E32" i="7"/>
  <c r="E31" i="7"/>
  <c r="E30" i="7"/>
  <c r="E29" i="7"/>
  <c r="E28" i="7"/>
  <c r="E27" i="7"/>
  <c r="E26" i="7"/>
  <c r="E25" i="7"/>
  <c r="E24" i="7"/>
  <c r="E23" i="7"/>
  <c r="E22" i="7"/>
  <c r="E21" i="7"/>
  <c r="E20" i="7"/>
  <c r="E19" i="7"/>
  <c r="E18" i="7"/>
  <c r="E17" i="7"/>
  <c r="E16" i="7"/>
  <c r="E15" i="7"/>
  <c r="E14" i="7"/>
  <c r="E13" i="7"/>
  <c r="E12" i="7"/>
  <c r="E11" i="7"/>
  <c r="E10" i="7"/>
  <c r="E9" i="7"/>
  <c r="E8" i="7"/>
  <c r="E7" i="7"/>
  <c r="L45" i="4"/>
  <c r="L44" i="4"/>
  <c r="L43" i="4"/>
  <c r="L42" i="4"/>
  <c r="L41" i="4"/>
  <c r="L40" i="4"/>
  <c r="L39" i="4"/>
  <c r="L38" i="4"/>
  <c r="L37" i="4"/>
  <c r="L36" i="4"/>
  <c r="L35" i="4"/>
  <c r="L34" i="4"/>
  <c r="L33" i="4"/>
  <c r="L32" i="4"/>
  <c r="L31" i="4"/>
  <c r="L30" i="4"/>
  <c r="L29" i="4"/>
  <c r="L28" i="4"/>
  <c r="L27" i="4"/>
  <c r="L26" i="4"/>
  <c r="L25" i="4"/>
  <c r="L24" i="4"/>
  <c r="L23" i="4"/>
  <c r="L22" i="4"/>
  <c r="L21" i="4"/>
  <c r="L20" i="4"/>
  <c r="L19" i="4"/>
  <c r="L18" i="4"/>
  <c r="L17" i="4"/>
  <c r="L16" i="4"/>
  <c r="K39" i="6" l="1"/>
  <c r="L45" i="9" l="1"/>
  <c r="L44" i="9"/>
  <c r="L43" i="9"/>
  <c r="L42" i="9"/>
  <c r="L41" i="9"/>
  <c r="L40" i="9"/>
  <c r="L39" i="9"/>
  <c r="L38" i="9"/>
  <c r="L37" i="9"/>
  <c r="L36" i="9"/>
  <c r="L35" i="9"/>
  <c r="L34" i="9"/>
  <c r="L33" i="9"/>
  <c r="L32" i="9"/>
  <c r="L31" i="9"/>
  <c r="L30" i="9"/>
  <c r="L29" i="9"/>
  <c r="L28" i="9"/>
  <c r="L27" i="9"/>
  <c r="L26" i="9"/>
  <c r="L25" i="9"/>
  <c r="L24" i="9"/>
  <c r="L23" i="9"/>
  <c r="L22" i="9"/>
  <c r="L21" i="9"/>
  <c r="L20" i="9"/>
  <c r="L19" i="9"/>
  <c r="L18" i="9"/>
  <c r="L17" i="9"/>
  <c r="L16" i="9"/>
  <c r="K45" i="9"/>
  <c r="K44" i="9"/>
  <c r="K43" i="9"/>
  <c r="K42" i="9"/>
  <c r="K41" i="9"/>
  <c r="K40" i="9"/>
  <c r="K39" i="9"/>
  <c r="K38" i="9"/>
  <c r="K37" i="9"/>
  <c r="K36" i="9"/>
  <c r="K35" i="9"/>
  <c r="K34" i="9"/>
  <c r="K33" i="9"/>
  <c r="K32" i="9"/>
  <c r="K31" i="9"/>
  <c r="K30" i="9"/>
  <c r="K29" i="9"/>
  <c r="K28" i="9"/>
  <c r="K27" i="9"/>
  <c r="K26" i="9"/>
  <c r="K25" i="9"/>
  <c r="K24" i="9"/>
  <c r="K23" i="9"/>
  <c r="K22" i="9"/>
  <c r="K21" i="9"/>
  <c r="K20" i="9"/>
  <c r="K19" i="9"/>
  <c r="K18" i="9"/>
  <c r="K17" i="9"/>
  <c r="K16" i="9"/>
  <c r="L45" i="10"/>
  <c r="L44" i="10"/>
  <c r="L43" i="10"/>
  <c r="L42" i="10"/>
  <c r="L41" i="10"/>
  <c r="L40" i="10"/>
  <c r="L39" i="10"/>
  <c r="L38" i="10"/>
  <c r="L37" i="10"/>
  <c r="L36" i="10"/>
  <c r="L35" i="10"/>
  <c r="L34" i="10"/>
  <c r="L33" i="10"/>
  <c r="L32" i="10"/>
  <c r="L31" i="10"/>
  <c r="L30" i="10"/>
  <c r="L29" i="10"/>
  <c r="L28" i="10"/>
  <c r="L27" i="10"/>
  <c r="L26" i="10"/>
  <c r="L25" i="10"/>
  <c r="L24" i="10"/>
  <c r="L23" i="10"/>
  <c r="L22" i="10"/>
  <c r="L21" i="10"/>
  <c r="L20" i="10"/>
  <c r="L19" i="10"/>
  <c r="L18" i="10"/>
  <c r="L17" i="10"/>
  <c r="L16" i="10"/>
  <c r="K45" i="10"/>
  <c r="K44" i="10"/>
  <c r="K43" i="10"/>
  <c r="K42" i="10"/>
  <c r="K41" i="10"/>
  <c r="K40" i="10"/>
  <c r="K39" i="10"/>
  <c r="K38" i="10"/>
  <c r="K37" i="10"/>
  <c r="K36" i="10"/>
  <c r="K35" i="10"/>
  <c r="K34" i="10"/>
  <c r="K33" i="10"/>
  <c r="K32" i="10"/>
  <c r="M32" i="10" s="1"/>
  <c r="K31" i="10"/>
  <c r="M31" i="10" s="1"/>
  <c r="K30" i="10"/>
  <c r="K29" i="10"/>
  <c r="K28" i="10"/>
  <c r="K27" i="10"/>
  <c r="K26" i="10"/>
  <c r="K25" i="10"/>
  <c r="K24" i="10"/>
  <c r="K23" i="10"/>
  <c r="K22" i="10"/>
  <c r="K21" i="10"/>
  <c r="K20" i="10"/>
  <c r="K19" i="10"/>
  <c r="K18" i="10"/>
  <c r="K17" i="10"/>
  <c r="K16" i="10"/>
  <c r="L45" i="8"/>
  <c r="L44" i="8"/>
  <c r="L43" i="8"/>
  <c r="L42" i="8"/>
  <c r="L41" i="8"/>
  <c r="L40" i="8"/>
  <c r="L39" i="8"/>
  <c r="L38" i="8"/>
  <c r="L37" i="8"/>
  <c r="L36" i="8"/>
  <c r="L35" i="8"/>
  <c r="L34" i="8"/>
  <c r="L33" i="8"/>
  <c r="L32" i="8"/>
  <c r="L31" i="8"/>
  <c r="L30" i="8"/>
  <c r="L29" i="8"/>
  <c r="L28" i="8"/>
  <c r="L27" i="8"/>
  <c r="L26" i="8"/>
  <c r="L25" i="8"/>
  <c r="L24" i="8"/>
  <c r="L23" i="8"/>
  <c r="L22" i="8"/>
  <c r="L21" i="8"/>
  <c r="L20" i="8"/>
  <c r="L19" i="8"/>
  <c r="L18" i="8"/>
  <c r="L17" i="8"/>
  <c r="L16" i="8"/>
  <c r="K45" i="8"/>
  <c r="K44" i="8"/>
  <c r="K43" i="8"/>
  <c r="K42" i="8"/>
  <c r="K41" i="8"/>
  <c r="K40" i="8"/>
  <c r="K39" i="8"/>
  <c r="K38" i="8"/>
  <c r="K37" i="8"/>
  <c r="K36" i="8"/>
  <c r="K35" i="8"/>
  <c r="K34" i="8"/>
  <c r="K33" i="8"/>
  <c r="K32" i="8"/>
  <c r="K31" i="8"/>
  <c r="K30" i="8"/>
  <c r="K29" i="8"/>
  <c r="K28" i="8"/>
  <c r="K27" i="8"/>
  <c r="K26" i="8"/>
  <c r="K25" i="8"/>
  <c r="K24" i="8"/>
  <c r="K23" i="8"/>
  <c r="K22" i="8"/>
  <c r="K21" i="8"/>
  <c r="K20" i="8"/>
  <c r="K19" i="8"/>
  <c r="K18" i="8"/>
  <c r="K17" i="8"/>
  <c r="K16" i="8"/>
  <c r="L45" i="6"/>
  <c r="L44" i="6"/>
  <c r="L43" i="6"/>
  <c r="L42" i="6"/>
  <c r="L41" i="6"/>
  <c r="L40" i="6"/>
  <c r="L39" i="6"/>
  <c r="L38" i="6"/>
  <c r="L37" i="6"/>
  <c r="L36" i="6"/>
  <c r="L35" i="6"/>
  <c r="L34" i="6"/>
  <c r="L33" i="6"/>
  <c r="L32" i="6"/>
  <c r="L31" i="6"/>
  <c r="L30" i="6"/>
  <c r="L29" i="6"/>
  <c r="L28" i="6"/>
  <c r="L27" i="6"/>
  <c r="L26" i="6"/>
  <c r="L25" i="6"/>
  <c r="L24" i="6"/>
  <c r="L23" i="6"/>
  <c r="L22" i="6"/>
  <c r="L21" i="6"/>
  <c r="L20" i="6"/>
  <c r="L19" i="6"/>
  <c r="L18" i="6"/>
  <c r="L17" i="6"/>
  <c r="L16" i="6"/>
  <c r="K45" i="6"/>
  <c r="K44" i="6"/>
  <c r="K43" i="6"/>
  <c r="K42" i="6"/>
  <c r="K41" i="6"/>
  <c r="K40" i="6"/>
  <c r="K38" i="6"/>
  <c r="K37" i="6"/>
  <c r="K36" i="6"/>
  <c r="K35" i="6"/>
  <c r="K34" i="6"/>
  <c r="K33" i="6"/>
  <c r="K32" i="6"/>
  <c r="K31" i="6"/>
  <c r="K30" i="6"/>
  <c r="K29" i="6"/>
  <c r="K28" i="6"/>
  <c r="K27" i="6"/>
  <c r="K26" i="6"/>
  <c r="K25" i="6"/>
  <c r="K24" i="6"/>
  <c r="K23" i="6"/>
  <c r="K22" i="6"/>
  <c r="K21" i="6"/>
  <c r="K20" i="6"/>
  <c r="K19" i="6"/>
  <c r="K18" i="6"/>
  <c r="K17" i="6"/>
  <c r="K16" i="6"/>
  <c r="L45" i="7"/>
  <c r="L44" i="7"/>
  <c r="L43" i="7"/>
  <c r="L42" i="7"/>
  <c r="L41" i="7"/>
  <c r="L40" i="7"/>
  <c r="L39" i="7"/>
  <c r="L38" i="7"/>
  <c r="L37" i="7"/>
  <c r="L36" i="7"/>
  <c r="L35" i="7"/>
  <c r="L34" i="7"/>
  <c r="L33" i="7"/>
  <c r="L32" i="7"/>
  <c r="L31" i="7"/>
  <c r="L30" i="7"/>
  <c r="L29" i="7"/>
  <c r="L28" i="7"/>
  <c r="L27" i="7"/>
  <c r="L26" i="7"/>
  <c r="L25" i="7"/>
  <c r="L24" i="7"/>
  <c r="L23" i="7"/>
  <c r="L22" i="7"/>
  <c r="L21" i="7"/>
  <c r="L20" i="7"/>
  <c r="L19" i="7"/>
  <c r="L18" i="7"/>
  <c r="L17" i="7"/>
  <c r="L16" i="7"/>
  <c r="K45" i="7"/>
  <c r="K44" i="7"/>
  <c r="K43" i="7"/>
  <c r="K42" i="7"/>
  <c r="K41" i="7"/>
  <c r="K40" i="7"/>
  <c r="K39" i="7"/>
  <c r="K38" i="7"/>
  <c r="M38" i="7" s="1"/>
  <c r="K37" i="7"/>
  <c r="K36" i="7"/>
  <c r="K35" i="7"/>
  <c r="K34" i="7"/>
  <c r="K33" i="7"/>
  <c r="K32" i="7"/>
  <c r="K31" i="7"/>
  <c r="K30" i="7"/>
  <c r="M30" i="7" s="1"/>
  <c r="K29" i="7"/>
  <c r="K28" i="7"/>
  <c r="K27" i="7"/>
  <c r="K26" i="7"/>
  <c r="K25" i="7"/>
  <c r="K24" i="7"/>
  <c r="K23" i="7"/>
  <c r="K22" i="7"/>
  <c r="M22" i="7" s="1"/>
  <c r="K21" i="7"/>
  <c r="K20" i="7"/>
  <c r="K19" i="7"/>
  <c r="K18" i="7"/>
  <c r="K17" i="7"/>
  <c r="K16" i="7"/>
  <c r="L45" i="5"/>
  <c r="L44" i="5"/>
  <c r="L43" i="5"/>
  <c r="L42" i="5"/>
  <c r="L41" i="5"/>
  <c r="L40" i="5"/>
  <c r="L39" i="5"/>
  <c r="L38" i="5"/>
  <c r="L37" i="5"/>
  <c r="L36" i="5"/>
  <c r="L35" i="5"/>
  <c r="L34" i="5"/>
  <c r="L33" i="5"/>
  <c r="L32" i="5"/>
  <c r="L31" i="5"/>
  <c r="L30" i="5"/>
  <c r="L29" i="5"/>
  <c r="L28" i="5"/>
  <c r="L27" i="5"/>
  <c r="L26" i="5"/>
  <c r="L25" i="5"/>
  <c r="L24" i="5"/>
  <c r="L23" i="5"/>
  <c r="L22" i="5"/>
  <c r="L21" i="5"/>
  <c r="L20" i="5"/>
  <c r="L19" i="5"/>
  <c r="L18" i="5"/>
  <c r="L17" i="5"/>
  <c r="L16" i="5"/>
  <c r="K45" i="5"/>
  <c r="K44" i="5"/>
  <c r="K43" i="5"/>
  <c r="K42" i="5"/>
  <c r="K41" i="5"/>
  <c r="K40" i="5"/>
  <c r="K39" i="5"/>
  <c r="K38" i="5"/>
  <c r="K37" i="5"/>
  <c r="K36" i="5"/>
  <c r="K35" i="5"/>
  <c r="K34" i="5"/>
  <c r="K33" i="5"/>
  <c r="K32" i="5"/>
  <c r="K31" i="5"/>
  <c r="K30" i="5"/>
  <c r="K29" i="5"/>
  <c r="K28" i="5"/>
  <c r="K27" i="5"/>
  <c r="K26" i="5"/>
  <c r="K25" i="5"/>
  <c r="K24" i="5"/>
  <c r="K23" i="5"/>
  <c r="K22" i="5"/>
  <c r="K21" i="5"/>
  <c r="K20" i="5"/>
  <c r="K19" i="5"/>
  <c r="K18" i="5"/>
  <c r="K17" i="5"/>
  <c r="K16" i="5"/>
  <c r="M33" i="5"/>
  <c r="M25" i="5"/>
  <c r="M17" i="5"/>
  <c r="M45" i="5"/>
  <c r="M29" i="5"/>
  <c r="M37" i="5"/>
  <c r="M45" i="9"/>
  <c r="J45" i="9"/>
  <c r="M44" i="9"/>
  <c r="J44" i="9"/>
  <c r="J43" i="9"/>
  <c r="M43" i="9" s="1"/>
  <c r="M42" i="9"/>
  <c r="J42" i="9"/>
  <c r="J41" i="9"/>
  <c r="M41" i="9" s="1"/>
  <c r="M40" i="9"/>
  <c r="J40" i="9"/>
  <c r="J39" i="9"/>
  <c r="M39" i="9" s="1"/>
  <c r="M38" i="9"/>
  <c r="J38" i="9"/>
  <c r="J37" i="9"/>
  <c r="M37" i="9" s="1"/>
  <c r="M36" i="9"/>
  <c r="J36" i="9"/>
  <c r="J35" i="9"/>
  <c r="M35" i="9" s="1"/>
  <c r="M34" i="9"/>
  <c r="J34" i="9"/>
  <c r="J33" i="9"/>
  <c r="M33" i="9" s="1"/>
  <c r="M32" i="9"/>
  <c r="J32" i="9"/>
  <c r="J31" i="9"/>
  <c r="M31" i="9" s="1"/>
  <c r="M30" i="9"/>
  <c r="J30" i="9"/>
  <c r="J29" i="9"/>
  <c r="M29" i="9" s="1"/>
  <c r="M28" i="9"/>
  <c r="J28" i="9"/>
  <c r="J27" i="9"/>
  <c r="M27" i="9" s="1"/>
  <c r="M26" i="9"/>
  <c r="J26" i="9"/>
  <c r="J25" i="9"/>
  <c r="M25" i="9" s="1"/>
  <c r="M24" i="9"/>
  <c r="J24" i="9"/>
  <c r="J23" i="9"/>
  <c r="M23" i="9" s="1"/>
  <c r="M22" i="9"/>
  <c r="J22" i="9"/>
  <c r="J21" i="9"/>
  <c r="M21" i="9" s="1"/>
  <c r="M20" i="9"/>
  <c r="J20" i="9"/>
  <c r="J19" i="9"/>
  <c r="M19" i="9" s="1"/>
  <c r="M18" i="9"/>
  <c r="J18" i="9"/>
  <c r="J17" i="9"/>
  <c r="M17" i="9" s="1"/>
  <c r="M16" i="9"/>
  <c r="J16" i="9"/>
  <c r="J15" i="9"/>
  <c r="J14" i="9"/>
  <c r="J13" i="9"/>
  <c r="J12" i="9"/>
  <c r="J11" i="9"/>
  <c r="J10" i="9"/>
  <c r="J9" i="9"/>
  <c r="J8" i="9"/>
  <c r="J7" i="9"/>
  <c r="J6" i="9"/>
  <c r="M45" i="10"/>
  <c r="J45" i="10"/>
  <c r="M44" i="10"/>
  <c r="J44" i="10"/>
  <c r="J43" i="10"/>
  <c r="M42" i="10"/>
  <c r="J42" i="10"/>
  <c r="J41" i="10"/>
  <c r="M40" i="10"/>
  <c r="J40" i="10"/>
  <c r="J39" i="10"/>
  <c r="M38" i="10"/>
  <c r="J38" i="10"/>
  <c r="J37" i="10"/>
  <c r="M36" i="10"/>
  <c r="J36" i="10"/>
  <c r="J35" i="10"/>
  <c r="M34" i="10"/>
  <c r="J34" i="10"/>
  <c r="M33" i="10"/>
  <c r="J33" i="10"/>
  <c r="J32" i="10"/>
  <c r="J31" i="10"/>
  <c r="M30" i="10"/>
  <c r="J30" i="10"/>
  <c r="M29" i="10"/>
  <c r="J29" i="10"/>
  <c r="M28" i="10"/>
  <c r="J28" i="10"/>
  <c r="J27" i="10"/>
  <c r="M26" i="10"/>
  <c r="J26" i="10"/>
  <c r="J25" i="10"/>
  <c r="M24" i="10"/>
  <c r="J24" i="10"/>
  <c r="J23" i="10"/>
  <c r="M22" i="10"/>
  <c r="J22" i="10"/>
  <c r="J21" i="10"/>
  <c r="M20" i="10"/>
  <c r="J20" i="10"/>
  <c r="J19" i="10"/>
  <c r="M18" i="10"/>
  <c r="J18" i="10"/>
  <c r="M17" i="10"/>
  <c r="J17" i="10"/>
  <c r="M16" i="10"/>
  <c r="J16" i="10"/>
  <c r="J15" i="10"/>
  <c r="J14" i="10"/>
  <c r="J13" i="10"/>
  <c r="J12" i="10"/>
  <c r="J11" i="10"/>
  <c r="J10" i="10"/>
  <c r="J9" i="10"/>
  <c r="J8" i="10"/>
  <c r="J7" i="10"/>
  <c r="J6" i="10"/>
  <c r="M45" i="8"/>
  <c r="J45" i="8"/>
  <c r="J44" i="8"/>
  <c r="J43" i="8"/>
  <c r="M42" i="8"/>
  <c r="J42" i="8"/>
  <c r="J41" i="8"/>
  <c r="J40" i="8"/>
  <c r="J39" i="8"/>
  <c r="M38" i="8"/>
  <c r="J38" i="8"/>
  <c r="J37" i="8"/>
  <c r="J36" i="8"/>
  <c r="J35" i="8"/>
  <c r="M34" i="8"/>
  <c r="J34" i="8"/>
  <c r="J33" i="8"/>
  <c r="J32" i="8"/>
  <c r="J31" i="8"/>
  <c r="M30" i="8"/>
  <c r="J30" i="8"/>
  <c r="J29" i="8"/>
  <c r="J28" i="8"/>
  <c r="J27" i="8"/>
  <c r="M26" i="8"/>
  <c r="J26" i="8"/>
  <c r="J25" i="8"/>
  <c r="J24" i="8"/>
  <c r="J23" i="8"/>
  <c r="M22" i="8"/>
  <c r="J22" i="8"/>
  <c r="J21" i="8"/>
  <c r="J20" i="8"/>
  <c r="J19" i="8"/>
  <c r="M18" i="8"/>
  <c r="J18" i="8"/>
  <c r="J17" i="8"/>
  <c r="J16" i="8"/>
  <c r="J15" i="8"/>
  <c r="J14" i="8"/>
  <c r="J13" i="8"/>
  <c r="J12" i="8"/>
  <c r="J11" i="8"/>
  <c r="J10" i="8"/>
  <c r="J9" i="8"/>
  <c r="J8" i="8"/>
  <c r="J7" i="8"/>
  <c r="J6" i="8"/>
  <c r="M45" i="6"/>
  <c r="J45" i="6"/>
  <c r="M44" i="6"/>
  <c r="J44" i="6"/>
  <c r="J43" i="6"/>
  <c r="M43" i="6" s="1"/>
  <c r="M42" i="6"/>
  <c r="J42" i="6"/>
  <c r="J41" i="6"/>
  <c r="M41" i="6" s="1"/>
  <c r="J40" i="6"/>
  <c r="J39" i="6"/>
  <c r="M39" i="6" s="1"/>
  <c r="M38" i="6"/>
  <c r="J38" i="6"/>
  <c r="J37" i="6"/>
  <c r="M37" i="6" s="1"/>
  <c r="M36" i="6"/>
  <c r="J36" i="6"/>
  <c r="J35" i="6"/>
  <c r="M35" i="6" s="1"/>
  <c r="M34" i="6"/>
  <c r="J34" i="6"/>
  <c r="J33" i="6"/>
  <c r="M33" i="6" s="1"/>
  <c r="J32" i="6"/>
  <c r="J31" i="6"/>
  <c r="M30" i="6"/>
  <c r="J30" i="6"/>
  <c r="J29" i="6"/>
  <c r="M29" i="6" s="1"/>
  <c r="M28" i="6"/>
  <c r="J28" i="6"/>
  <c r="J27" i="6"/>
  <c r="M27" i="6" s="1"/>
  <c r="M26" i="6"/>
  <c r="J26" i="6"/>
  <c r="J25" i="6"/>
  <c r="M25" i="6" s="1"/>
  <c r="J24" i="6"/>
  <c r="J23" i="6"/>
  <c r="M23" i="6" s="1"/>
  <c r="M22" i="6"/>
  <c r="J22" i="6"/>
  <c r="J21" i="6"/>
  <c r="M21" i="6" s="1"/>
  <c r="M20" i="6"/>
  <c r="J20" i="6"/>
  <c r="J19" i="6"/>
  <c r="M19" i="6" s="1"/>
  <c r="M18" i="6"/>
  <c r="J18" i="6"/>
  <c r="J17" i="6"/>
  <c r="M17" i="6" s="1"/>
  <c r="J16" i="6"/>
  <c r="J15" i="6"/>
  <c r="J14" i="6"/>
  <c r="J13" i="6"/>
  <c r="J12" i="6"/>
  <c r="J11" i="6"/>
  <c r="J10" i="6"/>
  <c r="J9" i="6"/>
  <c r="J8" i="6"/>
  <c r="J7" i="6"/>
  <c r="J6" i="6"/>
  <c r="M45" i="7"/>
  <c r="J45" i="7"/>
  <c r="J44" i="7"/>
  <c r="J43" i="7"/>
  <c r="M43" i="7" s="1"/>
  <c r="M42" i="7"/>
  <c r="J42" i="7"/>
  <c r="J41" i="7"/>
  <c r="M41" i="7" s="1"/>
  <c r="J40" i="7"/>
  <c r="J39" i="7"/>
  <c r="J38" i="7"/>
  <c r="J37" i="7"/>
  <c r="M37" i="7" s="1"/>
  <c r="J36" i="7"/>
  <c r="J35" i="7"/>
  <c r="M35" i="7" s="1"/>
  <c r="M34" i="7"/>
  <c r="J34" i="7"/>
  <c r="J33" i="7"/>
  <c r="M33" i="7" s="1"/>
  <c r="J32" i="7"/>
  <c r="J31" i="7"/>
  <c r="J30" i="7"/>
  <c r="J29" i="7"/>
  <c r="M29" i="7" s="1"/>
  <c r="J28" i="7"/>
  <c r="J27" i="7"/>
  <c r="M27" i="7" s="1"/>
  <c r="M26" i="7"/>
  <c r="J26" i="7"/>
  <c r="J25" i="7"/>
  <c r="M25" i="7" s="1"/>
  <c r="J24" i="7"/>
  <c r="J23" i="7"/>
  <c r="J22" i="7"/>
  <c r="J21" i="7"/>
  <c r="M21" i="7" s="1"/>
  <c r="J20" i="7"/>
  <c r="J19" i="7"/>
  <c r="M19" i="7" s="1"/>
  <c r="M18" i="7"/>
  <c r="J18" i="7"/>
  <c r="J17" i="7"/>
  <c r="M17" i="7" s="1"/>
  <c r="J16" i="7"/>
  <c r="J15" i="7"/>
  <c r="J14" i="7"/>
  <c r="J13" i="7"/>
  <c r="J12" i="7"/>
  <c r="J11" i="7"/>
  <c r="J10" i="7"/>
  <c r="J9" i="7"/>
  <c r="J8" i="7"/>
  <c r="J7" i="7"/>
  <c r="J6" i="7"/>
  <c r="J45" i="5"/>
  <c r="J44" i="5"/>
  <c r="J43" i="5"/>
  <c r="J42" i="5"/>
  <c r="M41" i="5"/>
  <c r="J41" i="5"/>
  <c r="J40" i="5"/>
  <c r="J39" i="5"/>
  <c r="J38" i="5"/>
  <c r="J37" i="5"/>
  <c r="J36" i="5"/>
  <c r="J35" i="5"/>
  <c r="J34" i="5"/>
  <c r="J33" i="5"/>
  <c r="J32" i="5"/>
  <c r="J31" i="5"/>
  <c r="J30" i="5"/>
  <c r="J29" i="5"/>
  <c r="J28" i="5"/>
  <c r="J27" i="5"/>
  <c r="J26" i="5"/>
  <c r="J25" i="5"/>
  <c r="J24" i="5"/>
  <c r="J23" i="5"/>
  <c r="J22" i="5"/>
  <c r="M21" i="5"/>
  <c r="J21" i="5"/>
  <c r="J20" i="5"/>
  <c r="J19" i="5"/>
  <c r="J18" i="5"/>
  <c r="J17" i="5"/>
  <c r="J16" i="5"/>
  <c r="J15" i="5"/>
  <c r="J14" i="5"/>
  <c r="J13" i="5"/>
  <c r="J12" i="5"/>
  <c r="J11" i="5"/>
  <c r="J10" i="5"/>
  <c r="J9" i="5"/>
  <c r="J8" i="5"/>
  <c r="J7" i="5"/>
  <c r="J6" i="5"/>
  <c r="M24" i="6" l="1"/>
  <c r="M40" i="6"/>
  <c r="M31" i="6"/>
  <c r="M16" i="6"/>
  <c r="M32" i="6"/>
  <c r="M23" i="7"/>
  <c r="M31" i="7"/>
  <c r="M39" i="7"/>
  <c r="M23" i="10"/>
  <c r="M39" i="10"/>
  <c r="M43" i="10"/>
  <c r="M21" i="10"/>
  <c r="M37" i="10"/>
  <c r="M25" i="10"/>
  <c r="M41" i="10"/>
  <c r="M19" i="10"/>
  <c r="M35" i="10"/>
  <c r="M27" i="10"/>
  <c r="M19" i="8"/>
  <c r="M23" i="8"/>
  <c r="M27" i="8"/>
  <c r="M31" i="8"/>
  <c r="M35" i="8"/>
  <c r="M39" i="8"/>
  <c r="M43" i="8"/>
  <c r="M16" i="8"/>
  <c r="M20" i="8"/>
  <c r="M24" i="8"/>
  <c r="M28" i="8"/>
  <c r="M32" i="8"/>
  <c r="M36" i="8"/>
  <c r="M40" i="8"/>
  <c r="M44" i="8"/>
  <c r="M17" i="8"/>
  <c r="M21" i="8"/>
  <c r="M25" i="8"/>
  <c r="M29" i="8"/>
  <c r="M33" i="8"/>
  <c r="M37" i="8"/>
  <c r="M41" i="8"/>
  <c r="M16" i="7"/>
  <c r="M20" i="7"/>
  <c r="M24" i="7"/>
  <c r="M28" i="7"/>
  <c r="M32" i="7"/>
  <c r="M36" i="7"/>
  <c r="M40" i="7"/>
  <c r="M44" i="7"/>
  <c r="M18" i="5"/>
  <c r="M22" i="5"/>
  <c r="M26" i="5"/>
  <c r="M30" i="5"/>
  <c r="M34" i="5"/>
  <c r="M38" i="5"/>
  <c r="M42" i="5"/>
  <c r="M19" i="5"/>
  <c r="M23" i="5"/>
  <c r="M31" i="5"/>
  <c r="M35" i="5"/>
  <c r="M43" i="5"/>
  <c r="M16" i="5"/>
  <c r="M20" i="5"/>
  <c r="M24" i="5"/>
  <c r="M28" i="5"/>
  <c r="M32" i="5"/>
  <c r="M36" i="5"/>
  <c r="M40" i="5"/>
  <c r="M44" i="5"/>
  <c r="M27" i="5"/>
  <c r="M39" i="5"/>
  <c r="M45" i="4"/>
  <c r="J45" i="4"/>
  <c r="K44" i="4"/>
  <c r="M44" i="4" s="1"/>
  <c r="J44" i="4"/>
  <c r="M43" i="4"/>
  <c r="K43" i="4"/>
  <c r="J43" i="4"/>
  <c r="K42" i="4"/>
  <c r="M42" i="4" s="1"/>
  <c r="J42" i="4"/>
  <c r="M41" i="4"/>
  <c r="K41" i="4"/>
  <c r="J41" i="4"/>
  <c r="K40" i="4"/>
  <c r="M40" i="4" s="1"/>
  <c r="J40" i="4"/>
  <c r="M39" i="4"/>
  <c r="K39" i="4"/>
  <c r="J39" i="4"/>
  <c r="K38" i="4"/>
  <c r="M38" i="4" s="1"/>
  <c r="J38" i="4"/>
  <c r="M37" i="4"/>
  <c r="K37" i="4"/>
  <c r="J37" i="4"/>
  <c r="K36" i="4"/>
  <c r="M36" i="4" s="1"/>
  <c r="J36" i="4"/>
  <c r="M35" i="4"/>
  <c r="K35" i="4"/>
  <c r="J35" i="4"/>
  <c r="K34" i="4"/>
  <c r="M34" i="4" s="1"/>
  <c r="J34" i="4"/>
  <c r="M33" i="4"/>
  <c r="K33" i="4"/>
  <c r="J33" i="4"/>
  <c r="K32" i="4"/>
  <c r="M32" i="4" s="1"/>
  <c r="J32" i="4"/>
  <c r="M31" i="4"/>
  <c r="K31" i="4"/>
  <c r="J31" i="4"/>
  <c r="K30" i="4"/>
  <c r="M30" i="4" s="1"/>
  <c r="J30" i="4"/>
  <c r="M29" i="4"/>
  <c r="K29" i="4"/>
  <c r="J29" i="4"/>
  <c r="K28" i="4"/>
  <c r="M28" i="4" s="1"/>
  <c r="J28" i="4"/>
  <c r="M27" i="4"/>
  <c r="K27" i="4"/>
  <c r="J27" i="4"/>
  <c r="K26" i="4"/>
  <c r="M26" i="4" s="1"/>
  <c r="J26" i="4"/>
  <c r="M25" i="4"/>
  <c r="K25" i="4"/>
  <c r="J25" i="4"/>
  <c r="K24" i="4"/>
  <c r="M24" i="4" s="1"/>
  <c r="J24" i="4"/>
  <c r="M23" i="4"/>
  <c r="K23" i="4"/>
  <c r="J23" i="4"/>
  <c r="K22" i="4"/>
  <c r="M22" i="4" s="1"/>
  <c r="J22" i="4"/>
  <c r="M21" i="4"/>
  <c r="K21" i="4"/>
  <c r="J21" i="4"/>
  <c r="K20" i="4"/>
  <c r="M20" i="4" s="1"/>
  <c r="J20" i="4"/>
  <c r="M19" i="4"/>
  <c r="K19" i="4"/>
  <c r="J19" i="4"/>
  <c r="K18" i="4"/>
  <c r="M18" i="4" s="1"/>
  <c r="J18" i="4"/>
  <c r="M17" i="4"/>
  <c r="K17" i="4"/>
  <c r="J17" i="4"/>
  <c r="K16" i="4"/>
  <c r="M16" i="4" s="1"/>
  <c r="J16" i="4"/>
  <c r="J15" i="4"/>
  <c r="J14" i="4"/>
  <c r="J13" i="4"/>
  <c r="J12" i="4"/>
  <c r="J11" i="4"/>
  <c r="J10" i="4"/>
  <c r="J9" i="4"/>
  <c r="J8" i="4"/>
  <c r="J7" i="4"/>
  <c r="J6" i="4"/>
  <c r="L45" i="2"/>
  <c r="L44" i="2"/>
  <c r="L43" i="2"/>
  <c r="L42" i="2"/>
  <c r="L41" i="2"/>
  <c r="L40" i="2"/>
  <c r="L39" i="2"/>
  <c r="L38" i="2"/>
  <c r="L37" i="2"/>
  <c r="L36" i="2"/>
  <c r="L35" i="2"/>
  <c r="L34" i="2"/>
  <c r="L33" i="2"/>
  <c r="L32" i="2"/>
  <c r="L31" i="2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M45" i="2"/>
  <c r="J45" i="2"/>
  <c r="K44" i="2"/>
  <c r="M44" i="2" s="1"/>
  <c r="J44" i="2"/>
  <c r="K43" i="2"/>
  <c r="M43" i="2" s="1"/>
  <c r="J43" i="2"/>
  <c r="K42" i="2"/>
  <c r="M42" i="2" s="1"/>
  <c r="J42" i="2"/>
  <c r="K41" i="2"/>
  <c r="M41" i="2" s="1"/>
  <c r="J41" i="2"/>
  <c r="K40" i="2"/>
  <c r="M40" i="2" s="1"/>
  <c r="J40" i="2"/>
  <c r="K39" i="2"/>
  <c r="M39" i="2" s="1"/>
  <c r="J39" i="2"/>
  <c r="K38" i="2"/>
  <c r="M38" i="2" s="1"/>
  <c r="J38" i="2"/>
  <c r="K37" i="2"/>
  <c r="M37" i="2" s="1"/>
  <c r="J37" i="2"/>
  <c r="K36" i="2"/>
  <c r="M36" i="2" s="1"/>
  <c r="J36" i="2"/>
  <c r="K35" i="2"/>
  <c r="M35" i="2" s="1"/>
  <c r="J35" i="2"/>
  <c r="K34" i="2"/>
  <c r="M34" i="2" s="1"/>
  <c r="J34" i="2"/>
  <c r="K33" i="2"/>
  <c r="M33" i="2" s="1"/>
  <c r="J33" i="2"/>
  <c r="K32" i="2"/>
  <c r="M32" i="2" s="1"/>
  <c r="J32" i="2"/>
  <c r="K31" i="2"/>
  <c r="M31" i="2" s="1"/>
  <c r="J31" i="2"/>
  <c r="K30" i="2"/>
  <c r="M30" i="2" s="1"/>
  <c r="J30" i="2"/>
  <c r="K29" i="2"/>
  <c r="M29" i="2" s="1"/>
  <c r="J29" i="2"/>
  <c r="K28" i="2"/>
  <c r="M28" i="2" s="1"/>
  <c r="J28" i="2"/>
  <c r="K27" i="2"/>
  <c r="M27" i="2" s="1"/>
  <c r="J27" i="2"/>
  <c r="K26" i="2"/>
  <c r="M26" i="2" s="1"/>
  <c r="J26" i="2"/>
  <c r="K25" i="2"/>
  <c r="M25" i="2" s="1"/>
  <c r="J25" i="2"/>
  <c r="K24" i="2"/>
  <c r="M24" i="2" s="1"/>
  <c r="J24" i="2"/>
  <c r="K23" i="2"/>
  <c r="M23" i="2" s="1"/>
  <c r="J23" i="2"/>
  <c r="K22" i="2"/>
  <c r="M22" i="2" s="1"/>
  <c r="J22" i="2"/>
  <c r="K21" i="2"/>
  <c r="M21" i="2" s="1"/>
  <c r="J21" i="2"/>
  <c r="K20" i="2"/>
  <c r="M20" i="2" s="1"/>
  <c r="J20" i="2"/>
  <c r="K19" i="2"/>
  <c r="M19" i="2" s="1"/>
  <c r="J19" i="2"/>
  <c r="K18" i="2"/>
  <c r="M18" i="2" s="1"/>
  <c r="J18" i="2"/>
  <c r="K17" i="2"/>
  <c r="M17" i="2" s="1"/>
  <c r="J17" i="2"/>
  <c r="K16" i="2"/>
  <c r="M16" i="2" s="1"/>
  <c r="J16" i="2"/>
  <c r="J15" i="2"/>
  <c r="J14" i="2"/>
  <c r="J13" i="2"/>
  <c r="J12" i="2"/>
  <c r="J11" i="2"/>
  <c r="J10" i="2"/>
  <c r="J9" i="2"/>
  <c r="J8" i="2"/>
  <c r="J7" i="2"/>
  <c r="J6" i="2"/>
  <c r="M45" i="3"/>
  <c r="L45" i="3"/>
  <c r="M44" i="3"/>
  <c r="M43" i="3"/>
  <c r="M42" i="3"/>
  <c r="M41" i="3"/>
  <c r="M40" i="3"/>
  <c r="M39" i="3"/>
  <c r="M38" i="3"/>
  <c r="M37" i="3"/>
  <c r="M36" i="3"/>
  <c r="M35" i="3"/>
  <c r="M34" i="3"/>
  <c r="M33" i="3"/>
  <c r="M32" i="3"/>
  <c r="M31" i="3"/>
  <c r="M30" i="3"/>
  <c r="M29" i="3"/>
  <c r="M28" i="3"/>
  <c r="M27" i="3"/>
  <c r="M26" i="3"/>
  <c r="M25" i="3"/>
  <c r="M24" i="3"/>
  <c r="M23" i="3"/>
  <c r="M22" i="3"/>
  <c r="M21" i="3"/>
  <c r="M20" i="3"/>
  <c r="M19" i="3"/>
  <c r="M18" i="3"/>
  <c r="M17" i="3"/>
  <c r="M16" i="3"/>
  <c r="L44" i="3"/>
  <c r="L43" i="3"/>
  <c r="L42" i="3"/>
  <c r="L41" i="3"/>
  <c r="L40" i="3"/>
  <c r="L39" i="3"/>
  <c r="L38" i="3"/>
  <c r="L37" i="3"/>
  <c r="L36" i="3"/>
  <c r="L35" i="3"/>
  <c r="L34" i="3"/>
  <c r="L33" i="3"/>
  <c r="L32" i="3"/>
  <c r="L31" i="3"/>
  <c r="L30" i="3"/>
  <c r="L29" i="3"/>
  <c r="L28" i="3"/>
  <c r="L27" i="3"/>
  <c r="L26" i="3"/>
  <c r="L25" i="3"/>
  <c r="L24" i="3"/>
  <c r="L23" i="3"/>
  <c r="L22" i="3"/>
  <c r="L21" i="3"/>
  <c r="L20" i="3"/>
  <c r="L19" i="3"/>
  <c r="L18" i="3"/>
  <c r="L17" i="3"/>
  <c r="L16" i="3"/>
  <c r="J45" i="3"/>
  <c r="J44" i="3"/>
  <c r="J43" i="3"/>
  <c r="J42" i="3"/>
  <c r="J41" i="3"/>
  <c r="J40" i="3"/>
  <c r="J39" i="3"/>
  <c r="J38" i="3"/>
  <c r="J37" i="3"/>
  <c r="J36" i="3"/>
  <c r="J35" i="3"/>
  <c r="J34" i="3"/>
  <c r="J33" i="3"/>
  <c r="J32" i="3"/>
  <c r="J31" i="3"/>
  <c r="J30" i="3"/>
  <c r="J29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J8" i="3"/>
  <c r="J7" i="3"/>
  <c r="J6" i="3"/>
  <c r="K44" i="3"/>
  <c r="K43" i="3"/>
  <c r="K42" i="3"/>
  <c r="K41" i="3"/>
  <c r="K40" i="3"/>
  <c r="K39" i="3"/>
  <c r="K38" i="3"/>
  <c r="K37" i="3"/>
  <c r="K36" i="3"/>
  <c r="K35" i="3"/>
  <c r="K34" i="3"/>
  <c r="K33" i="3"/>
  <c r="K32" i="3"/>
  <c r="K31" i="3"/>
  <c r="K30" i="3"/>
  <c r="K29" i="3"/>
  <c r="K28" i="3"/>
  <c r="K27" i="3"/>
  <c r="K26" i="3"/>
  <c r="K25" i="3"/>
  <c r="K24" i="3"/>
  <c r="K23" i="3"/>
  <c r="K22" i="3"/>
  <c r="K21" i="3"/>
  <c r="K20" i="3"/>
  <c r="K19" i="3"/>
  <c r="K18" i="3"/>
  <c r="K17" i="3"/>
  <c r="K16" i="3"/>
  <c r="F40" i="1" l="1"/>
  <c r="F26" i="1"/>
  <c r="F45" i="1" l="1"/>
  <c r="F44" i="1"/>
  <c r="F43" i="1"/>
  <c r="F42" i="1"/>
  <c r="F41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5" i="1"/>
  <c r="F24" i="1"/>
  <c r="F23" i="1"/>
  <c r="F22" i="1"/>
  <c r="F21" i="1"/>
  <c r="F20" i="1"/>
  <c r="F19" i="1"/>
  <c r="F18" i="1"/>
  <c r="F17" i="1"/>
  <c r="F1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H1" i="7" l="1"/>
  <c r="A45" i="2" l="1"/>
  <c r="D46" i="1" l="1"/>
  <c r="B6" i="9" l="1"/>
  <c r="E6" i="9" s="1"/>
  <c r="B7" i="9"/>
  <c r="B8" i="9"/>
  <c r="B9" i="9"/>
  <c r="B10" i="9"/>
  <c r="B11" i="9"/>
  <c r="B12" i="9"/>
  <c r="B13" i="9"/>
  <c r="B14" i="9"/>
  <c r="B15" i="9"/>
  <c r="B16" i="9"/>
  <c r="B17" i="9"/>
  <c r="B18" i="9"/>
  <c r="B19" i="9"/>
  <c r="B20" i="9"/>
  <c r="B21" i="9"/>
  <c r="B22" i="9"/>
  <c r="B23" i="9"/>
  <c r="B24" i="9"/>
  <c r="B25" i="9"/>
  <c r="B26" i="9"/>
  <c r="B27" i="9"/>
  <c r="B28" i="9"/>
  <c r="B29" i="9"/>
  <c r="B30" i="9"/>
  <c r="B31" i="9"/>
  <c r="B32" i="9"/>
  <c r="B33" i="9"/>
  <c r="B34" i="9"/>
  <c r="B35" i="9"/>
  <c r="B36" i="9"/>
  <c r="B37" i="9"/>
  <c r="B38" i="9"/>
  <c r="B39" i="9"/>
  <c r="B40" i="9"/>
  <c r="B41" i="9"/>
  <c r="B42" i="9"/>
  <c r="B43" i="9"/>
  <c r="B44" i="9"/>
  <c r="B45" i="9"/>
  <c r="A6" i="9"/>
  <c r="A7" i="9"/>
  <c r="D7" i="9" s="1"/>
  <c r="A8" i="9"/>
  <c r="D8" i="9" s="1"/>
  <c r="A9" i="9"/>
  <c r="D9" i="9" s="1"/>
  <c r="A10" i="9"/>
  <c r="D10" i="9" s="1"/>
  <c r="A11" i="9"/>
  <c r="D11" i="9" s="1"/>
  <c r="A12" i="9"/>
  <c r="D12" i="9" s="1"/>
  <c r="A13" i="9"/>
  <c r="D13" i="9" s="1"/>
  <c r="A14" i="9"/>
  <c r="D14" i="9" s="1"/>
  <c r="A15" i="9"/>
  <c r="D15" i="9" s="1"/>
  <c r="A16" i="9"/>
  <c r="D16" i="9" s="1"/>
  <c r="A17" i="9"/>
  <c r="D17" i="9" s="1"/>
  <c r="A18" i="9"/>
  <c r="D18" i="9" s="1"/>
  <c r="A19" i="9"/>
  <c r="D19" i="9" s="1"/>
  <c r="A20" i="9"/>
  <c r="D20" i="9" s="1"/>
  <c r="A21" i="9"/>
  <c r="D21" i="9" s="1"/>
  <c r="A22" i="9"/>
  <c r="D22" i="9" s="1"/>
  <c r="A23" i="9"/>
  <c r="D23" i="9" s="1"/>
  <c r="A24" i="9"/>
  <c r="D24" i="9" s="1"/>
  <c r="A25" i="9"/>
  <c r="D25" i="9" s="1"/>
  <c r="A26" i="9"/>
  <c r="D26" i="9" s="1"/>
  <c r="A27" i="9"/>
  <c r="D27" i="9" s="1"/>
  <c r="A28" i="9"/>
  <c r="D28" i="9" s="1"/>
  <c r="A29" i="9"/>
  <c r="D29" i="9" s="1"/>
  <c r="A30" i="9"/>
  <c r="D30" i="9" s="1"/>
  <c r="A31" i="9"/>
  <c r="D31" i="9" s="1"/>
  <c r="A32" i="9"/>
  <c r="D32" i="9" s="1"/>
  <c r="A33" i="9"/>
  <c r="D33" i="9" s="1"/>
  <c r="A34" i="9"/>
  <c r="D34" i="9" s="1"/>
  <c r="A35" i="9"/>
  <c r="D35" i="9" s="1"/>
  <c r="A36" i="9"/>
  <c r="D36" i="9" s="1"/>
  <c r="A37" i="9"/>
  <c r="A38" i="9"/>
  <c r="D38" i="9" s="1"/>
  <c r="A39" i="9"/>
  <c r="D39" i="9" s="1"/>
  <c r="A40" i="9"/>
  <c r="D40" i="9" s="1"/>
  <c r="A41" i="9"/>
  <c r="A42" i="9"/>
  <c r="A43" i="9"/>
  <c r="D43" i="9" s="1"/>
  <c r="A44" i="9"/>
  <c r="D44" i="9" s="1"/>
  <c r="A45" i="9"/>
  <c r="D45" i="9" s="1"/>
  <c r="B6" i="10"/>
  <c r="E6" i="10" s="1"/>
  <c r="B7" i="10"/>
  <c r="B8" i="10"/>
  <c r="B9" i="10"/>
  <c r="B10" i="10"/>
  <c r="B11" i="10"/>
  <c r="B12" i="10"/>
  <c r="B13" i="10"/>
  <c r="B14" i="10"/>
  <c r="B15" i="10"/>
  <c r="B16" i="10"/>
  <c r="B17" i="10"/>
  <c r="B18" i="10"/>
  <c r="B19" i="10"/>
  <c r="B20" i="10"/>
  <c r="B21" i="10"/>
  <c r="B22" i="10"/>
  <c r="B23" i="10"/>
  <c r="B24" i="10"/>
  <c r="B25" i="10"/>
  <c r="B26" i="10"/>
  <c r="B27" i="10"/>
  <c r="B28" i="10"/>
  <c r="B29" i="10"/>
  <c r="B30" i="10"/>
  <c r="B31" i="10"/>
  <c r="B32" i="10"/>
  <c r="B33" i="10"/>
  <c r="B34" i="10"/>
  <c r="B35" i="10"/>
  <c r="B36" i="10"/>
  <c r="B37" i="10"/>
  <c r="B38" i="10"/>
  <c r="B39" i="10"/>
  <c r="B40" i="10"/>
  <c r="B41" i="10"/>
  <c r="B42" i="10"/>
  <c r="B43" i="10"/>
  <c r="B44" i="10"/>
  <c r="B45" i="10"/>
  <c r="A6" i="10"/>
  <c r="A7" i="10"/>
  <c r="D7" i="10" s="1"/>
  <c r="A8" i="10"/>
  <c r="D8" i="10" s="1"/>
  <c r="A9" i="10"/>
  <c r="D9" i="10" s="1"/>
  <c r="A10" i="10"/>
  <c r="D10" i="10" s="1"/>
  <c r="A11" i="10"/>
  <c r="D11" i="10" s="1"/>
  <c r="A12" i="10"/>
  <c r="D12" i="10" s="1"/>
  <c r="A13" i="10"/>
  <c r="D13" i="10" s="1"/>
  <c r="A14" i="10"/>
  <c r="D14" i="10" s="1"/>
  <c r="A15" i="10"/>
  <c r="D15" i="10" s="1"/>
  <c r="A16" i="10"/>
  <c r="D16" i="10" s="1"/>
  <c r="A17" i="10"/>
  <c r="D17" i="10" s="1"/>
  <c r="A18" i="10"/>
  <c r="D18" i="10" s="1"/>
  <c r="A19" i="10"/>
  <c r="D19" i="10" s="1"/>
  <c r="A20" i="10"/>
  <c r="D20" i="10" s="1"/>
  <c r="A21" i="10"/>
  <c r="D21" i="10" s="1"/>
  <c r="A22" i="10"/>
  <c r="D22" i="10" s="1"/>
  <c r="A23" i="10"/>
  <c r="D23" i="10" s="1"/>
  <c r="A24" i="10"/>
  <c r="D24" i="10" s="1"/>
  <c r="A25" i="10"/>
  <c r="D25" i="10" s="1"/>
  <c r="A26" i="10"/>
  <c r="D26" i="10" s="1"/>
  <c r="A27" i="10"/>
  <c r="D27" i="10" s="1"/>
  <c r="A28" i="10"/>
  <c r="D28" i="10" s="1"/>
  <c r="A29" i="10"/>
  <c r="D29" i="10" s="1"/>
  <c r="A30" i="10"/>
  <c r="D30" i="10" s="1"/>
  <c r="A31" i="10"/>
  <c r="D31" i="10" s="1"/>
  <c r="A32" i="10"/>
  <c r="D32" i="10" s="1"/>
  <c r="A33" i="10"/>
  <c r="D33" i="10" s="1"/>
  <c r="A34" i="10"/>
  <c r="D34" i="10" s="1"/>
  <c r="A35" i="10"/>
  <c r="D35" i="10" s="1"/>
  <c r="A36" i="10"/>
  <c r="D36" i="10" s="1"/>
  <c r="A37" i="10"/>
  <c r="D37" i="10" s="1"/>
  <c r="H37" i="10" s="1"/>
  <c r="A38" i="10"/>
  <c r="D38" i="10" s="1"/>
  <c r="A39" i="10"/>
  <c r="D39" i="10" s="1"/>
  <c r="H39" i="10" s="1"/>
  <c r="A40" i="10"/>
  <c r="D40" i="10" s="1"/>
  <c r="H40" i="10" s="1"/>
  <c r="A41" i="10"/>
  <c r="D41" i="10" s="1"/>
  <c r="H41" i="10" s="1"/>
  <c r="A42" i="10"/>
  <c r="D42" i="10" s="1"/>
  <c r="H42" i="10" s="1"/>
  <c r="A43" i="10"/>
  <c r="D43" i="10" s="1"/>
  <c r="A44" i="10"/>
  <c r="D44" i="10" s="1"/>
  <c r="A45" i="10"/>
  <c r="D45" i="10" s="1"/>
  <c r="H45" i="10" s="1"/>
  <c r="K13" i="10" l="1"/>
  <c r="K13" i="9"/>
  <c r="I12" i="10"/>
  <c r="K12" i="10"/>
  <c r="I12" i="9"/>
  <c r="K12" i="9"/>
  <c r="K11" i="10"/>
  <c r="K10" i="9"/>
  <c r="G9" i="10"/>
  <c r="K9" i="10"/>
  <c r="I9" i="9"/>
  <c r="K9" i="9"/>
  <c r="K8" i="10"/>
  <c r="K8" i="9"/>
  <c r="G11" i="9"/>
  <c r="K11" i="9"/>
  <c r="I7" i="10"/>
  <c r="K7" i="10"/>
  <c r="K7" i="9"/>
  <c r="K10" i="10"/>
  <c r="K6" i="10"/>
  <c r="I6" i="9"/>
  <c r="K6" i="9"/>
  <c r="I14" i="10"/>
  <c r="K14" i="10"/>
  <c r="I14" i="9"/>
  <c r="K14" i="9"/>
  <c r="I15" i="10"/>
  <c r="K15" i="10"/>
  <c r="I15" i="9"/>
  <c r="K15" i="9"/>
  <c r="D6" i="10"/>
  <c r="D6" i="9"/>
  <c r="H6" i="9" s="1"/>
  <c r="I30" i="10"/>
  <c r="I38" i="9"/>
  <c r="I36" i="10"/>
  <c r="I28" i="10"/>
  <c r="I20" i="10"/>
  <c r="G45" i="9"/>
  <c r="I37" i="9"/>
  <c r="I29" i="9"/>
  <c r="I21" i="9"/>
  <c r="I13" i="9"/>
  <c r="I43" i="10"/>
  <c r="I35" i="10"/>
  <c r="I27" i="10"/>
  <c r="G19" i="10"/>
  <c r="I11" i="10"/>
  <c r="I44" i="9"/>
  <c r="I36" i="9"/>
  <c r="I28" i="9"/>
  <c r="I20" i="9"/>
  <c r="I22" i="10"/>
  <c r="I13" i="10"/>
  <c r="I22" i="9"/>
  <c r="G22" i="9"/>
  <c r="I26" i="10"/>
  <c r="I43" i="9"/>
  <c r="I35" i="9"/>
  <c r="I27" i="9"/>
  <c r="I19" i="9"/>
  <c r="I41" i="10"/>
  <c r="I33" i="10"/>
  <c r="I25" i="10"/>
  <c r="G17" i="10"/>
  <c r="I42" i="9"/>
  <c r="I34" i="9"/>
  <c r="I26" i="9"/>
  <c r="I18" i="9"/>
  <c r="I10" i="9"/>
  <c r="I31" i="9"/>
  <c r="I30" i="9"/>
  <c r="I21" i="10"/>
  <c r="I34" i="10"/>
  <c r="I18" i="10"/>
  <c r="G40" i="10"/>
  <c r="I32" i="10"/>
  <c r="G32" i="10"/>
  <c r="I24" i="10"/>
  <c r="I16" i="10"/>
  <c r="I41" i="9"/>
  <c r="I33" i="9"/>
  <c r="G33" i="9"/>
  <c r="I25" i="9"/>
  <c r="I17" i="9"/>
  <c r="I39" i="10"/>
  <c r="I31" i="10"/>
  <c r="I23" i="10"/>
  <c r="G40" i="9"/>
  <c r="I32" i="9"/>
  <c r="I24" i="9"/>
  <c r="I16" i="9"/>
  <c r="G38" i="10"/>
  <c r="I23" i="9"/>
  <c r="I39" i="9"/>
  <c r="D37" i="9"/>
  <c r="G37" i="9" s="1"/>
  <c r="D42" i="9"/>
  <c r="H42" i="9" s="1"/>
  <c r="D41" i="9"/>
  <c r="I7" i="9"/>
  <c r="C4" i="9"/>
  <c r="C4" i="10"/>
  <c r="H44" i="10"/>
  <c r="I45" i="10"/>
  <c r="I8" i="10"/>
  <c r="G38" i="9"/>
  <c r="H38" i="9"/>
  <c r="G39" i="9"/>
  <c r="H39" i="9"/>
  <c r="H40" i="9"/>
  <c r="H37" i="9"/>
  <c r="G30" i="9"/>
  <c r="H30" i="9"/>
  <c r="G19" i="9"/>
  <c r="H19" i="9"/>
  <c r="H44" i="9"/>
  <c r="G44" i="9"/>
  <c r="H14" i="9"/>
  <c r="G34" i="9"/>
  <c r="H34" i="9"/>
  <c r="G7" i="9"/>
  <c r="H7" i="9"/>
  <c r="H15" i="9"/>
  <c r="G23" i="9"/>
  <c r="H23" i="9"/>
  <c r="H22" i="9"/>
  <c r="H27" i="9"/>
  <c r="H8" i="9"/>
  <c r="H12" i="9"/>
  <c r="H16" i="9"/>
  <c r="G16" i="9"/>
  <c r="H20" i="9"/>
  <c r="G20" i="9"/>
  <c r="H24" i="9"/>
  <c r="G28" i="9"/>
  <c r="H28" i="9"/>
  <c r="H32" i="9"/>
  <c r="G32" i="9"/>
  <c r="H26" i="9"/>
  <c r="G35" i="9"/>
  <c r="H35" i="9"/>
  <c r="H45" i="9"/>
  <c r="H18" i="9"/>
  <c r="H43" i="9"/>
  <c r="G43" i="9"/>
  <c r="G31" i="9"/>
  <c r="H31" i="9"/>
  <c r="H9" i="9"/>
  <c r="H13" i="9"/>
  <c r="G13" i="9"/>
  <c r="H17" i="9"/>
  <c r="G21" i="9"/>
  <c r="H21" i="9"/>
  <c r="H25" i="9"/>
  <c r="G25" i="9"/>
  <c r="H29" i="9"/>
  <c r="G29" i="9"/>
  <c r="H33" i="9"/>
  <c r="H36" i="9"/>
  <c r="G36" i="9"/>
  <c r="H10" i="9"/>
  <c r="H11" i="9"/>
  <c r="I37" i="10"/>
  <c r="I29" i="10"/>
  <c r="I44" i="10"/>
  <c r="G37" i="10"/>
  <c r="H38" i="10"/>
  <c r="G39" i="10"/>
  <c r="G41" i="10"/>
  <c r="H19" i="10"/>
  <c r="H16" i="10"/>
  <c r="H32" i="10"/>
  <c r="H13" i="10"/>
  <c r="G13" i="10"/>
  <c r="H25" i="10"/>
  <c r="G25" i="10"/>
  <c r="H33" i="10"/>
  <c r="H23" i="10"/>
  <c r="H12" i="10"/>
  <c r="G12" i="10"/>
  <c r="H28" i="10"/>
  <c r="G28" i="10"/>
  <c r="H17" i="10"/>
  <c r="H29" i="10"/>
  <c r="G29" i="10"/>
  <c r="G36" i="10"/>
  <c r="H36" i="10"/>
  <c r="H10" i="10"/>
  <c r="G10" i="10"/>
  <c r="H14" i="10"/>
  <c r="H18" i="10"/>
  <c r="G18" i="10"/>
  <c r="H22" i="10"/>
  <c r="G22" i="10"/>
  <c r="H26" i="10"/>
  <c r="H30" i="10"/>
  <c r="H34" i="10"/>
  <c r="G34" i="10"/>
  <c r="G11" i="10"/>
  <c r="H11" i="10"/>
  <c r="H20" i="10"/>
  <c r="H9" i="10"/>
  <c r="H21" i="10"/>
  <c r="G21" i="10"/>
  <c r="I6" i="10"/>
  <c r="I42" i="10"/>
  <c r="G42" i="10"/>
  <c r="H27" i="10"/>
  <c r="G27" i="10"/>
  <c r="H15" i="10"/>
  <c r="H31" i="10"/>
  <c r="G31" i="10"/>
  <c r="H43" i="10"/>
  <c r="G43" i="10"/>
  <c r="H8" i="10"/>
  <c r="G8" i="10"/>
  <c r="H7" i="10"/>
  <c r="G35" i="10"/>
  <c r="H35" i="10"/>
  <c r="H24" i="10"/>
  <c r="G24" i="10"/>
  <c r="G44" i="10"/>
  <c r="G45" i="10"/>
  <c r="B6" i="8"/>
  <c r="K6" i="8" s="1"/>
  <c r="B7" i="8"/>
  <c r="B8" i="8"/>
  <c r="B9" i="8"/>
  <c r="B10" i="8"/>
  <c r="B11" i="8"/>
  <c r="B12" i="8"/>
  <c r="B13" i="8"/>
  <c r="B14" i="8"/>
  <c r="B15" i="8"/>
  <c r="B16" i="8"/>
  <c r="E16" i="8" s="1"/>
  <c r="I16" i="8" s="1"/>
  <c r="B17" i="8"/>
  <c r="E17" i="8" s="1"/>
  <c r="I17" i="8" s="1"/>
  <c r="B18" i="8"/>
  <c r="E18" i="8" s="1"/>
  <c r="I18" i="8" s="1"/>
  <c r="B19" i="8"/>
  <c r="E19" i="8" s="1"/>
  <c r="I19" i="8" s="1"/>
  <c r="B20" i="8"/>
  <c r="E20" i="8" s="1"/>
  <c r="I20" i="8" s="1"/>
  <c r="B21" i="8"/>
  <c r="E21" i="8" s="1"/>
  <c r="I21" i="8" s="1"/>
  <c r="B22" i="8"/>
  <c r="E22" i="8" s="1"/>
  <c r="I22" i="8" s="1"/>
  <c r="B23" i="8"/>
  <c r="E23" i="8" s="1"/>
  <c r="I23" i="8" s="1"/>
  <c r="B24" i="8"/>
  <c r="E24" i="8" s="1"/>
  <c r="I24" i="8" s="1"/>
  <c r="B25" i="8"/>
  <c r="E25" i="8" s="1"/>
  <c r="I25" i="8" s="1"/>
  <c r="B26" i="8"/>
  <c r="E26" i="8" s="1"/>
  <c r="I26" i="8" s="1"/>
  <c r="B27" i="8"/>
  <c r="E27" i="8" s="1"/>
  <c r="I27" i="8" s="1"/>
  <c r="B28" i="8"/>
  <c r="E28" i="8" s="1"/>
  <c r="I28" i="8" s="1"/>
  <c r="B29" i="8"/>
  <c r="E29" i="8" s="1"/>
  <c r="I29" i="8" s="1"/>
  <c r="B30" i="8"/>
  <c r="E30" i="8" s="1"/>
  <c r="I30" i="8" s="1"/>
  <c r="B31" i="8"/>
  <c r="E31" i="8" s="1"/>
  <c r="I31" i="8" s="1"/>
  <c r="B32" i="8"/>
  <c r="E32" i="8" s="1"/>
  <c r="I32" i="8" s="1"/>
  <c r="B33" i="8"/>
  <c r="E33" i="8" s="1"/>
  <c r="I33" i="8" s="1"/>
  <c r="B34" i="8"/>
  <c r="E34" i="8" s="1"/>
  <c r="I34" i="8" s="1"/>
  <c r="B35" i="8"/>
  <c r="E35" i="8" s="1"/>
  <c r="I35" i="8" s="1"/>
  <c r="B36" i="8"/>
  <c r="E36" i="8" s="1"/>
  <c r="I36" i="8" s="1"/>
  <c r="B37" i="8"/>
  <c r="E37" i="8" s="1"/>
  <c r="I37" i="8" s="1"/>
  <c r="B38" i="8"/>
  <c r="E38" i="8" s="1"/>
  <c r="I38" i="8" s="1"/>
  <c r="B39" i="8"/>
  <c r="E39" i="8" s="1"/>
  <c r="I39" i="8" s="1"/>
  <c r="B40" i="8"/>
  <c r="E40" i="8" s="1"/>
  <c r="I40" i="8" s="1"/>
  <c r="B41" i="8"/>
  <c r="E41" i="8" s="1"/>
  <c r="I41" i="8" s="1"/>
  <c r="B42" i="8"/>
  <c r="E42" i="8" s="1"/>
  <c r="I42" i="8" s="1"/>
  <c r="B43" i="8"/>
  <c r="E43" i="8" s="1"/>
  <c r="I43" i="8" s="1"/>
  <c r="B44" i="8"/>
  <c r="E44" i="8" s="1"/>
  <c r="I44" i="8" s="1"/>
  <c r="B45" i="8"/>
  <c r="E45" i="8" s="1"/>
  <c r="I45" i="8" s="1"/>
  <c r="A6" i="8"/>
  <c r="A7" i="8"/>
  <c r="D7" i="8" s="1"/>
  <c r="A8" i="8"/>
  <c r="D8" i="8" s="1"/>
  <c r="A9" i="8"/>
  <c r="D9" i="8" s="1"/>
  <c r="A10" i="8"/>
  <c r="D10" i="8" s="1"/>
  <c r="A11" i="8"/>
  <c r="D11" i="8" s="1"/>
  <c r="A12" i="8"/>
  <c r="D12" i="8" s="1"/>
  <c r="A13" i="8"/>
  <c r="D13" i="8" s="1"/>
  <c r="A14" i="8"/>
  <c r="D14" i="8" s="1"/>
  <c r="A15" i="8"/>
  <c r="D15" i="8" s="1"/>
  <c r="A16" i="8"/>
  <c r="D16" i="8" s="1"/>
  <c r="A17" i="8"/>
  <c r="D17" i="8" s="1"/>
  <c r="A18" i="8"/>
  <c r="D18" i="8" s="1"/>
  <c r="A19" i="8"/>
  <c r="D19" i="8" s="1"/>
  <c r="A20" i="8"/>
  <c r="D20" i="8" s="1"/>
  <c r="A21" i="8"/>
  <c r="D21" i="8" s="1"/>
  <c r="A22" i="8"/>
  <c r="D22" i="8" s="1"/>
  <c r="A23" i="8"/>
  <c r="D23" i="8" s="1"/>
  <c r="A24" i="8"/>
  <c r="D24" i="8" s="1"/>
  <c r="A25" i="8"/>
  <c r="D25" i="8" s="1"/>
  <c r="A26" i="8"/>
  <c r="D26" i="8" s="1"/>
  <c r="A27" i="8"/>
  <c r="D27" i="8" s="1"/>
  <c r="A28" i="8"/>
  <c r="D28" i="8" s="1"/>
  <c r="A29" i="8"/>
  <c r="D29" i="8" s="1"/>
  <c r="A30" i="8"/>
  <c r="D30" i="8" s="1"/>
  <c r="A31" i="8"/>
  <c r="D31" i="8" s="1"/>
  <c r="A32" i="8"/>
  <c r="D32" i="8" s="1"/>
  <c r="A33" i="8"/>
  <c r="D33" i="8" s="1"/>
  <c r="A34" i="8"/>
  <c r="D34" i="8" s="1"/>
  <c r="A35" i="8"/>
  <c r="D35" i="8" s="1"/>
  <c r="A36" i="8"/>
  <c r="D36" i="8" s="1"/>
  <c r="A37" i="8"/>
  <c r="D37" i="8" s="1"/>
  <c r="A38" i="8"/>
  <c r="D38" i="8" s="1"/>
  <c r="A39" i="8"/>
  <c r="A40" i="8"/>
  <c r="A41" i="8"/>
  <c r="A42" i="8"/>
  <c r="A43" i="8"/>
  <c r="D43" i="8" s="1"/>
  <c r="A44" i="8"/>
  <c r="D44" i="8" s="1"/>
  <c r="A45" i="8"/>
  <c r="C4" i="8"/>
  <c r="G7" i="10" l="1"/>
  <c r="G12" i="9"/>
  <c r="E10" i="8"/>
  <c r="I10" i="8" s="1"/>
  <c r="K10" i="8"/>
  <c r="E9" i="8"/>
  <c r="I9" i="8" s="1"/>
  <c r="K9" i="8"/>
  <c r="I9" i="10"/>
  <c r="E8" i="8"/>
  <c r="I8" i="8" s="1"/>
  <c r="K8" i="8"/>
  <c r="E12" i="8"/>
  <c r="I12" i="8" s="1"/>
  <c r="K12" i="8"/>
  <c r="G6" i="10"/>
  <c r="E7" i="8"/>
  <c r="I7" i="8" s="1"/>
  <c r="K7" i="8"/>
  <c r="E13" i="8"/>
  <c r="I13" i="8" s="1"/>
  <c r="K13" i="8"/>
  <c r="E11" i="8"/>
  <c r="I11" i="8" s="1"/>
  <c r="K11" i="8"/>
  <c r="G15" i="10"/>
  <c r="E4" i="9"/>
  <c r="G14" i="9"/>
  <c r="E14" i="8"/>
  <c r="I14" i="8" s="1"/>
  <c r="K14" i="8"/>
  <c r="E15" i="8"/>
  <c r="I15" i="8" s="1"/>
  <c r="K15" i="8"/>
  <c r="G42" i="9"/>
  <c r="H6" i="10"/>
  <c r="H4" i="10" s="1"/>
  <c r="D4" i="10"/>
  <c r="D4" i="9"/>
  <c r="G6" i="9"/>
  <c r="D6" i="8"/>
  <c r="H6" i="8" s="1"/>
  <c r="E6" i="8"/>
  <c r="I6" i="8" s="1"/>
  <c r="G15" i="9"/>
  <c r="G30" i="10"/>
  <c r="G14" i="10"/>
  <c r="G23" i="10"/>
  <c r="G17" i="9"/>
  <c r="G18" i="9"/>
  <c r="G26" i="9"/>
  <c r="G24" i="9"/>
  <c r="G27" i="9"/>
  <c r="I38" i="10"/>
  <c r="I40" i="9"/>
  <c r="I40" i="10"/>
  <c r="I17" i="10"/>
  <c r="I11" i="9"/>
  <c r="I19" i="10"/>
  <c r="I45" i="9"/>
  <c r="E4" i="10"/>
  <c r="G20" i="10"/>
  <c r="G26" i="10"/>
  <c r="G33" i="10"/>
  <c r="G16" i="10"/>
  <c r="I10" i="10"/>
  <c r="G10" i="9"/>
  <c r="G41" i="9"/>
  <c r="D42" i="8"/>
  <c r="H42" i="8" s="1"/>
  <c r="D40" i="8"/>
  <c r="G40" i="8" s="1"/>
  <c r="H41" i="9"/>
  <c r="H4" i="9" s="1"/>
  <c r="D41" i="8"/>
  <c r="H41" i="8" s="1"/>
  <c r="D45" i="8"/>
  <c r="G45" i="8" s="1"/>
  <c r="D39" i="8"/>
  <c r="G39" i="8" s="1"/>
  <c r="G9" i="9"/>
  <c r="G8" i="9"/>
  <c r="I8" i="9"/>
  <c r="H44" i="8"/>
  <c r="H43" i="8"/>
  <c r="H38" i="8"/>
  <c r="G38" i="8"/>
  <c r="G37" i="8"/>
  <c r="H37" i="8"/>
  <c r="H10" i="8"/>
  <c r="G10" i="8"/>
  <c r="H14" i="8"/>
  <c r="H18" i="8"/>
  <c r="G18" i="8"/>
  <c r="H22" i="8"/>
  <c r="G22" i="8"/>
  <c r="H26" i="8"/>
  <c r="G26" i="8"/>
  <c r="H30" i="8"/>
  <c r="G30" i="8"/>
  <c r="H34" i="8"/>
  <c r="G34" i="8"/>
  <c r="H7" i="8"/>
  <c r="G7" i="8"/>
  <c r="H11" i="8"/>
  <c r="H15" i="8"/>
  <c r="H19" i="8"/>
  <c r="G19" i="8"/>
  <c r="H23" i="8"/>
  <c r="G23" i="8"/>
  <c r="H27" i="8"/>
  <c r="G27" i="8"/>
  <c r="H31" i="8"/>
  <c r="G31" i="8"/>
  <c r="G35" i="8"/>
  <c r="H35" i="8"/>
  <c r="H16" i="8"/>
  <c r="G16" i="8"/>
  <c r="H32" i="8"/>
  <c r="G32" i="8"/>
  <c r="H8" i="8"/>
  <c r="H12" i="8"/>
  <c r="H20" i="8"/>
  <c r="G20" i="8"/>
  <c r="H24" i="8"/>
  <c r="G24" i="8"/>
  <c r="H28" i="8"/>
  <c r="G28" i="8"/>
  <c r="H9" i="8"/>
  <c r="G9" i="8"/>
  <c r="H13" i="8"/>
  <c r="H17" i="8"/>
  <c r="G17" i="8"/>
  <c r="H21" i="8"/>
  <c r="G21" i="8"/>
  <c r="H25" i="8"/>
  <c r="G25" i="8"/>
  <c r="H29" i="8"/>
  <c r="G29" i="8"/>
  <c r="H33" i="8"/>
  <c r="G33" i="8"/>
  <c r="G36" i="8"/>
  <c r="H36" i="8"/>
  <c r="G43" i="8"/>
  <c r="G44" i="8"/>
  <c r="B6" i="6"/>
  <c r="K6" i="6" s="1"/>
  <c r="B7" i="6"/>
  <c r="B8" i="6"/>
  <c r="B9" i="6"/>
  <c r="B10" i="6"/>
  <c r="B11" i="6"/>
  <c r="B12" i="6"/>
  <c r="B13" i="6"/>
  <c r="B14" i="6"/>
  <c r="B15" i="6"/>
  <c r="B16" i="6"/>
  <c r="E16" i="6" s="1"/>
  <c r="B17" i="6"/>
  <c r="E17" i="6" s="1"/>
  <c r="I17" i="6" s="1"/>
  <c r="B18" i="6"/>
  <c r="E18" i="6" s="1"/>
  <c r="I18" i="6" s="1"/>
  <c r="B19" i="6"/>
  <c r="E19" i="6" s="1"/>
  <c r="I19" i="6" s="1"/>
  <c r="B20" i="6"/>
  <c r="E20" i="6" s="1"/>
  <c r="B21" i="6"/>
  <c r="E21" i="6" s="1"/>
  <c r="I21" i="6" s="1"/>
  <c r="B22" i="6"/>
  <c r="E22" i="6" s="1"/>
  <c r="I22" i="6" s="1"/>
  <c r="B23" i="6"/>
  <c r="E23" i="6" s="1"/>
  <c r="B24" i="6"/>
  <c r="E24" i="6" s="1"/>
  <c r="B25" i="6"/>
  <c r="E25" i="6" s="1"/>
  <c r="I25" i="6" s="1"/>
  <c r="B26" i="6"/>
  <c r="E26" i="6" s="1"/>
  <c r="I26" i="6" s="1"/>
  <c r="B27" i="6"/>
  <c r="E27" i="6" s="1"/>
  <c r="I27" i="6" s="1"/>
  <c r="B28" i="6"/>
  <c r="E28" i="6" s="1"/>
  <c r="B29" i="6"/>
  <c r="E29" i="6" s="1"/>
  <c r="I29" i="6" s="1"/>
  <c r="B30" i="6"/>
  <c r="E30" i="6" s="1"/>
  <c r="I30" i="6" s="1"/>
  <c r="B31" i="6"/>
  <c r="E31" i="6" s="1"/>
  <c r="B32" i="6"/>
  <c r="E32" i="6" s="1"/>
  <c r="B33" i="6"/>
  <c r="E33" i="6" s="1"/>
  <c r="I33" i="6" s="1"/>
  <c r="B34" i="6"/>
  <c r="E34" i="6" s="1"/>
  <c r="I34" i="6" s="1"/>
  <c r="B35" i="6"/>
  <c r="E35" i="6" s="1"/>
  <c r="I35" i="6" s="1"/>
  <c r="B36" i="6"/>
  <c r="E36" i="6" s="1"/>
  <c r="B37" i="6"/>
  <c r="B38" i="6"/>
  <c r="E38" i="6" s="1"/>
  <c r="I38" i="6" s="1"/>
  <c r="B39" i="6"/>
  <c r="E39" i="6" s="1"/>
  <c r="B40" i="6"/>
  <c r="E40" i="6" s="1"/>
  <c r="I40" i="6" s="1"/>
  <c r="B41" i="6"/>
  <c r="E41" i="6" s="1"/>
  <c r="I41" i="6" s="1"/>
  <c r="B42" i="6"/>
  <c r="E42" i="6" s="1"/>
  <c r="I42" i="6" s="1"/>
  <c r="B43" i="6"/>
  <c r="E43" i="6" s="1"/>
  <c r="I43" i="6" s="1"/>
  <c r="B44" i="6"/>
  <c r="E44" i="6" s="1"/>
  <c r="B45" i="6"/>
  <c r="A6" i="6"/>
  <c r="A7" i="6"/>
  <c r="D7" i="6" s="1"/>
  <c r="A8" i="6"/>
  <c r="A9" i="6"/>
  <c r="D9" i="6" s="1"/>
  <c r="A10" i="6"/>
  <c r="D10" i="6" s="1"/>
  <c r="A11" i="6"/>
  <c r="D11" i="6" s="1"/>
  <c r="A12" i="6"/>
  <c r="D12" i="6" s="1"/>
  <c r="A13" i="6"/>
  <c r="D13" i="6" s="1"/>
  <c r="A14" i="6"/>
  <c r="D14" i="6" s="1"/>
  <c r="A15" i="6"/>
  <c r="D15" i="6" s="1"/>
  <c r="A16" i="6"/>
  <c r="D16" i="6" s="1"/>
  <c r="A17" i="6"/>
  <c r="D17" i="6" s="1"/>
  <c r="A18" i="6"/>
  <c r="D18" i="6" s="1"/>
  <c r="A19" i="6"/>
  <c r="D19" i="6" s="1"/>
  <c r="A20" i="6"/>
  <c r="D20" i="6" s="1"/>
  <c r="A21" i="6"/>
  <c r="D21" i="6" s="1"/>
  <c r="A22" i="6"/>
  <c r="D22" i="6" s="1"/>
  <c r="A23" i="6"/>
  <c r="D23" i="6" s="1"/>
  <c r="A24" i="6"/>
  <c r="D24" i="6" s="1"/>
  <c r="A25" i="6"/>
  <c r="D25" i="6" s="1"/>
  <c r="A26" i="6"/>
  <c r="D26" i="6" s="1"/>
  <c r="A27" i="6"/>
  <c r="D27" i="6" s="1"/>
  <c r="A28" i="6"/>
  <c r="D28" i="6" s="1"/>
  <c r="A29" i="6"/>
  <c r="D29" i="6" s="1"/>
  <c r="A30" i="6"/>
  <c r="D30" i="6" s="1"/>
  <c r="A31" i="6"/>
  <c r="D31" i="6" s="1"/>
  <c r="A32" i="6"/>
  <c r="D32" i="6" s="1"/>
  <c r="A33" i="6"/>
  <c r="D33" i="6" s="1"/>
  <c r="A34" i="6"/>
  <c r="D34" i="6" s="1"/>
  <c r="A35" i="6"/>
  <c r="D35" i="6" s="1"/>
  <c r="A36" i="6"/>
  <c r="A37" i="6"/>
  <c r="A38" i="6"/>
  <c r="D38" i="6" s="1"/>
  <c r="A39" i="6"/>
  <c r="A40" i="6"/>
  <c r="A41" i="6"/>
  <c r="A42" i="6"/>
  <c r="A43" i="6"/>
  <c r="A44" i="6"/>
  <c r="A45" i="6"/>
  <c r="E37" i="6"/>
  <c r="I37" i="6" s="1"/>
  <c r="E45" i="6"/>
  <c r="I45" i="6" s="1"/>
  <c r="C4" i="6"/>
  <c r="A6" i="7"/>
  <c r="D6" i="7" s="1"/>
  <c r="A7" i="7"/>
  <c r="D7" i="7" s="1"/>
  <c r="A8" i="7"/>
  <c r="D8" i="7" s="1"/>
  <c r="A9" i="7"/>
  <c r="D9" i="7" s="1"/>
  <c r="A10" i="7"/>
  <c r="D10" i="7" s="1"/>
  <c r="A11" i="7"/>
  <c r="D11" i="7" s="1"/>
  <c r="A12" i="7"/>
  <c r="D12" i="7" s="1"/>
  <c r="A13" i="7"/>
  <c r="D13" i="7" s="1"/>
  <c r="A14" i="7"/>
  <c r="D14" i="7" s="1"/>
  <c r="A15" i="7"/>
  <c r="D15" i="7" s="1"/>
  <c r="A16" i="7"/>
  <c r="D16" i="7" s="1"/>
  <c r="A17" i="7"/>
  <c r="D17" i="7" s="1"/>
  <c r="A18" i="7"/>
  <c r="D18" i="7" s="1"/>
  <c r="A19" i="7"/>
  <c r="D19" i="7" s="1"/>
  <c r="A20" i="7"/>
  <c r="D20" i="7" s="1"/>
  <c r="A21" i="7"/>
  <c r="D21" i="7" s="1"/>
  <c r="A22" i="7"/>
  <c r="D22" i="7" s="1"/>
  <c r="A23" i="7"/>
  <c r="D23" i="7" s="1"/>
  <c r="A24" i="7"/>
  <c r="D24" i="7" s="1"/>
  <c r="A25" i="7"/>
  <c r="D25" i="7" s="1"/>
  <c r="A26" i="7"/>
  <c r="D26" i="7" s="1"/>
  <c r="A27" i="7"/>
  <c r="D27" i="7" s="1"/>
  <c r="A28" i="7"/>
  <c r="D28" i="7" s="1"/>
  <c r="A29" i="7"/>
  <c r="D29" i="7" s="1"/>
  <c r="A30" i="7"/>
  <c r="D30" i="7" s="1"/>
  <c r="A31" i="7"/>
  <c r="D31" i="7" s="1"/>
  <c r="A32" i="7"/>
  <c r="D32" i="7" s="1"/>
  <c r="A33" i="7"/>
  <c r="D33" i="7" s="1"/>
  <c r="A34" i="7"/>
  <c r="D34" i="7" s="1"/>
  <c r="A35" i="7"/>
  <c r="D35" i="7" s="1"/>
  <c r="A36" i="7"/>
  <c r="D36" i="7" s="1"/>
  <c r="A37" i="7"/>
  <c r="D37" i="7" s="1"/>
  <c r="A38" i="7"/>
  <c r="D38" i="7" s="1"/>
  <c r="A39" i="7"/>
  <c r="D39" i="7" s="1"/>
  <c r="H39" i="7" s="1"/>
  <c r="A40" i="7"/>
  <c r="D40" i="7" s="1"/>
  <c r="A41" i="7"/>
  <c r="D41" i="7" s="1"/>
  <c r="H41" i="7" s="1"/>
  <c r="A42" i="7"/>
  <c r="D42" i="7" s="1"/>
  <c r="H42" i="7" s="1"/>
  <c r="A43" i="7"/>
  <c r="D43" i="7" s="1"/>
  <c r="A44" i="7"/>
  <c r="D44" i="7" s="1"/>
  <c r="H44" i="7" s="1"/>
  <c r="A45" i="7"/>
  <c r="D45" i="7" s="1"/>
  <c r="H45" i="7" s="1"/>
  <c r="B6" i="7"/>
  <c r="E6" i="7" s="1"/>
  <c r="B7" i="7"/>
  <c r="B8" i="7"/>
  <c r="B9" i="7"/>
  <c r="B10" i="7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C4" i="7"/>
  <c r="G11" i="8" l="1"/>
  <c r="K9" i="7"/>
  <c r="E12" i="6"/>
  <c r="K12" i="6"/>
  <c r="I8" i="7"/>
  <c r="K8" i="7"/>
  <c r="E11" i="6"/>
  <c r="I11" i="6" s="1"/>
  <c r="K11" i="6"/>
  <c r="G8" i="8"/>
  <c r="E8" i="6"/>
  <c r="I8" i="6" s="1"/>
  <c r="K8" i="6"/>
  <c r="K12" i="7"/>
  <c r="E7" i="6"/>
  <c r="G7" i="6" s="1"/>
  <c r="K7" i="6"/>
  <c r="G13" i="8"/>
  <c r="K7" i="7"/>
  <c r="E9" i="6"/>
  <c r="I9" i="6" s="1"/>
  <c r="K9" i="6"/>
  <c r="E10" i="6"/>
  <c r="I10" i="6" s="1"/>
  <c r="K10" i="6"/>
  <c r="G6" i="7"/>
  <c r="K6" i="7"/>
  <c r="K13" i="7"/>
  <c r="K11" i="7"/>
  <c r="G10" i="7"/>
  <c r="K10" i="7"/>
  <c r="E13" i="6"/>
  <c r="I13" i="6" s="1"/>
  <c r="K13" i="6"/>
  <c r="G12" i="8"/>
  <c r="G14" i="7"/>
  <c r="K14" i="7"/>
  <c r="E14" i="6"/>
  <c r="I14" i="6" s="1"/>
  <c r="K14" i="6"/>
  <c r="G14" i="8"/>
  <c r="I4" i="8"/>
  <c r="E15" i="6"/>
  <c r="I15" i="6" s="1"/>
  <c r="K15" i="6"/>
  <c r="G15" i="8"/>
  <c r="I15" i="7"/>
  <c r="K15" i="7"/>
  <c r="D8" i="6"/>
  <c r="H8" i="6" s="1"/>
  <c r="G42" i="8"/>
  <c r="H39" i="8"/>
  <c r="G4" i="10"/>
  <c r="G41" i="8"/>
  <c r="D39" i="6"/>
  <c r="H39" i="6" s="1"/>
  <c r="H45" i="8"/>
  <c r="D45" i="6"/>
  <c r="G45" i="6" s="1"/>
  <c r="D37" i="6"/>
  <c r="H37" i="6" s="1"/>
  <c r="I4" i="9"/>
  <c r="D59" i="9" s="1"/>
  <c r="D44" i="6"/>
  <c r="H44" i="6" s="1"/>
  <c r="D36" i="6"/>
  <c r="H36" i="6" s="1"/>
  <c r="D43" i="6"/>
  <c r="H43" i="6" s="1"/>
  <c r="D42" i="6"/>
  <c r="H42" i="6" s="1"/>
  <c r="D41" i="6"/>
  <c r="H41" i="6" s="1"/>
  <c r="D40" i="6"/>
  <c r="H40" i="6" s="1"/>
  <c r="D4" i="8"/>
  <c r="E4" i="8"/>
  <c r="G4" i="9"/>
  <c r="D6" i="6"/>
  <c r="E6" i="6"/>
  <c r="I6" i="6" s="1"/>
  <c r="G6" i="8"/>
  <c r="I41" i="7"/>
  <c r="I33" i="7"/>
  <c r="I25" i="7"/>
  <c r="I17" i="7"/>
  <c r="I40" i="7"/>
  <c r="I32" i="7"/>
  <c r="I24" i="7"/>
  <c r="G16" i="7"/>
  <c r="I19" i="7"/>
  <c r="I39" i="7"/>
  <c r="G27" i="7"/>
  <c r="I23" i="7"/>
  <c r="I43" i="7"/>
  <c r="I31" i="7"/>
  <c r="I36" i="7"/>
  <c r="I28" i="7"/>
  <c r="I20" i="7"/>
  <c r="G12" i="7"/>
  <c r="I4" i="10"/>
  <c r="D59" i="10" s="1"/>
  <c r="H40" i="8"/>
  <c r="I9" i="7"/>
  <c r="I7" i="7"/>
  <c r="I44" i="7"/>
  <c r="I35" i="7"/>
  <c r="I29" i="7"/>
  <c r="I34" i="7"/>
  <c r="I26" i="7"/>
  <c r="I18" i="7"/>
  <c r="I22" i="7"/>
  <c r="I30" i="7"/>
  <c r="I38" i="7"/>
  <c r="I37" i="7"/>
  <c r="I14" i="7"/>
  <c r="I21" i="7"/>
  <c r="I45" i="7"/>
  <c r="I39" i="6"/>
  <c r="I31" i="6"/>
  <c r="I23" i="6"/>
  <c r="I44" i="6"/>
  <c r="I12" i="6"/>
  <c r="I36" i="6"/>
  <c r="I20" i="6"/>
  <c r="I28" i="6"/>
  <c r="I32" i="6"/>
  <c r="I24" i="6"/>
  <c r="I16" i="6"/>
  <c r="H35" i="6"/>
  <c r="G35" i="6"/>
  <c r="H38" i="6"/>
  <c r="G38" i="6"/>
  <c r="H7" i="6"/>
  <c r="H11" i="6"/>
  <c r="H13" i="6"/>
  <c r="H17" i="6"/>
  <c r="G17" i="6"/>
  <c r="H19" i="6"/>
  <c r="G19" i="6"/>
  <c r="H21" i="6"/>
  <c r="G21" i="6"/>
  <c r="H23" i="6"/>
  <c r="G23" i="6"/>
  <c r="H25" i="6"/>
  <c r="G25" i="6"/>
  <c r="H27" i="6"/>
  <c r="G27" i="6"/>
  <c r="H29" i="6"/>
  <c r="G29" i="6"/>
  <c r="H31" i="6"/>
  <c r="G31" i="6"/>
  <c r="H33" i="6"/>
  <c r="G33" i="6"/>
  <c r="H15" i="6"/>
  <c r="H9" i="6"/>
  <c r="G9" i="6"/>
  <c r="H10" i="6"/>
  <c r="G10" i="6"/>
  <c r="H12" i="6"/>
  <c r="G12" i="6"/>
  <c r="H14" i="6"/>
  <c r="H16" i="6"/>
  <c r="G16" i="6"/>
  <c r="H18" i="6"/>
  <c r="G18" i="6"/>
  <c r="H20" i="6"/>
  <c r="G20" i="6"/>
  <c r="H22" i="6"/>
  <c r="G22" i="6"/>
  <c r="H24" i="6"/>
  <c r="G24" i="6"/>
  <c r="H26" i="6"/>
  <c r="G26" i="6"/>
  <c r="H28" i="6"/>
  <c r="G28" i="6"/>
  <c r="H30" i="6"/>
  <c r="G30" i="6"/>
  <c r="H32" i="6"/>
  <c r="G32" i="6"/>
  <c r="H34" i="6"/>
  <c r="G34" i="6"/>
  <c r="I10" i="7"/>
  <c r="I13" i="7"/>
  <c r="H40" i="7"/>
  <c r="G40" i="7"/>
  <c r="G39" i="7"/>
  <c r="H11" i="7"/>
  <c r="H19" i="7"/>
  <c r="G19" i="7"/>
  <c r="H23" i="7"/>
  <c r="H31" i="7"/>
  <c r="G31" i="7"/>
  <c r="G35" i="7"/>
  <c r="H35" i="7"/>
  <c r="H8" i="7"/>
  <c r="H12" i="7"/>
  <c r="H16" i="7"/>
  <c r="H20" i="7"/>
  <c r="G20" i="7"/>
  <c r="H24" i="7"/>
  <c r="G24" i="7"/>
  <c r="H28" i="7"/>
  <c r="G28" i="7"/>
  <c r="H32" i="7"/>
  <c r="H36" i="7"/>
  <c r="G13" i="7"/>
  <c r="H13" i="7"/>
  <c r="H17" i="7"/>
  <c r="G17" i="7"/>
  <c r="H21" i="7"/>
  <c r="G21" i="7"/>
  <c r="G25" i="7"/>
  <c r="H25" i="7"/>
  <c r="H29" i="7"/>
  <c r="H33" i="7"/>
  <c r="H37" i="7"/>
  <c r="G37" i="7"/>
  <c r="H9" i="7"/>
  <c r="I42" i="7"/>
  <c r="G42" i="7"/>
  <c r="D4" i="7"/>
  <c r="H6" i="7"/>
  <c r="H10" i="7"/>
  <c r="H14" i="7"/>
  <c r="G18" i="7"/>
  <c r="H18" i="7"/>
  <c r="H22" i="7"/>
  <c r="H26" i="7"/>
  <c r="G26" i="7"/>
  <c r="H30" i="7"/>
  <c r="H34" i="7"/>
  <c r="G34" i="7"/>
  <c r="G38" i="7"/>
  <c r="H38" i="7"/>
  <c r="H43" i="7"/>
  <c r="G43" i="7"/>
  <c r="H7" i="7"/>
  <c r="G7" i="7"/>
  <c r="H15" i="7"/>
  <c r="H27" i="7"/>
  <c r="G45" i="7"/>
  <c r="G15" i="7" l="1"/>
  <c r="I6" i="7"/>
  <c r="E4" i="7"/>
  <c r="G13" i="6"/>
  <c r="G11" i="6"/>
  <c r="I7" i="6"/>
  <c r="G14" i="6"/>
  <c r="G15" i="6"/>
  <c r="C54" i="10"/>
  <c r="C52" i="10" s="1"/>
  <c r="C54" i="9"/>
  <c r="C52" i="9" s="1"/>
  <c r="G43" i="6"/>
  <c r="G4" i="8"/>
  <c r="D58" i="8" s="1"/>
  <c r="G8" i="6"/>
  <c r="D4" i="6"/>
  <c r="G37" i="6"/>
  <c r="H4" i="8"/>
  <c r="D59" i="8" s="1"/>
  <c r="H45" i="6"/>
  <c r="G42" i="6"/>
  <c r="G41" i="6"/>
  <c r="G39" i="6"/>
  <c r="G36" i="6"/>
  <c r="G40" i="6"/>
  <c r="G44" i="6"/>
  <c r="I4" i="6"/>
  <c r="H6" i="6"/>
  <c r="E4" i="6"/>
  <c r="G6" i="6"/>
  <c r="D58" i="10"/>
  <c r="G36" i="7"/>
  <c r="G41" i="7"/>
  <c r="I11" i="7"/>
  <c r="I27" i="7"/>
  <c r="I16" i="7"/>
  <c r="G32" i="7"/>
  <c r="G23" i="7"/>
  <c r="I12" i="7"/>
  <c r="G33" i="7"/>
  <c r="G11" i="7"/>
  <c r="D58" i="9"/>
  <c r="G9" i="7"/>
  <c r="G8" i="7"/>
  <c r="G22" i="7"/>
  <c r="G30" i="7"/>
  <c r="G44" i="7"/>
  <c r="G29" i="7"/>
  <c r="H4" i="7"/>
  <c r="B6" i="5"/>
  <c r="K6" i="5" s="1"/>
  <c r="B7" i="5"/>
  <c r="K7" i="5" s="1"/>
  <c r="B8" i="5"/>
  <c r="K8" i="5" s="1"/>
  <c r="B9" i="5"/>
  <c r="K9" i="5" s="1"/>
  <c r="B10" i="5"/>
  <c r="B11" i="5"/>
  <c r="B12" i="5"/>
  <c r="B13" i="5"/>
  <c r="B14" i="5"/>
  <c r="B15" i="5"/>
  <c r="B16" i="5"/>
  <c r="E16" i="5" s="1"/>
  <c r="I16" i="5" s="1"/>
  <c r="B17" i="5"/>
  <c r="E17" i="5" s="1"/>
  <c r="B18" i="5"/>
  <c r="E18" i="5" s="1"/>
  <c r="B19" i="5"/>
  <c r="E19" i="5" s="1"/>
  <c r="B20" i="5"/>
  <c r="E20" i="5" s="1"/>
  <c r="I20" i="5" s="1"/>
  <c r="B21" i="5"/>
  <c r="E21" i="5" s="1"/>
  <c r="B22" i="5"/>
  <c r="B23" i="5"/>
  <c r="E23" i="5" s="1"/>
  <c r="B24" i="5"/>
  <c r="E24" i="5" s="1"/>
  <c r="B25" i="5"/>
  <c r="E25" i="5" s="1"/>
  <c r="B26" i="5"/>
  <c r="E26" i="5" s="1"/>
  <c r="I26" i="5" s="1"/>
  <c r="B27" i="5"/>
  <c r="E27" i="5" s="1"/>
  <c r="B28" i="5"/>
  <c r="E28" i="5" s="1"/>
  <c r="I28" i="5" s="1"/>
  <c r="B29" i="5"/>
  <c r="E29" i="5" s="1"/>
  <c r="I29" i="5" s="1"/>
  <c r="B30" i="5"/>
  <c r="E30" i="5" s="1"/>
  <c r="B31" i="5"/>
  <c r="E31" i="5" s="1"/>
  <c r="I31" i="5" s="1"/>
  <c r="B32" i="5"/>
  <c r="E32" i="5" s="1"/>
  <c r="B33" i="5"/>
  <c r="E33" i="5" s="1"/>
  <c r="B34" i="5"/>
  <c r="E34" i="5" s="1"/>
  <c r="I34" i="5" s="1"/>
  <c r="B35" i="5"/>
  <c r="E35" i="5" s="1"/>
  <c r="I35" i="5" s="1"/>
  <c r="B36" i="5"/>
  <c r="E36" i="5" s="1"/>
  <c r="B37" i="5"/>
  <c r="E37" i="5" s="1"/>
  <c r="B38" i="5"/>
  <c r="E38" i="5" s="1"/>
  <c r="I38" i="5" s="1"/>
  <c r="B39" i="5"/>
  <c r="E39" i="5" s="1"/>
  <c r="I39" i="5" s="1"/>
  <c r="B40" i="5"/>
  <c r="E40" i="5" s="1"/>
  <c r="I40" i="5" s="1"/>
  <c r="B41" i="5"/>
  <c r="E41" i="5" s="1"/>
  <c r="B42" i="5"/>
  <c r="E42" i="5" s="1"/>
  <c r="B43" i="5"/>
  <c r="E43" i="5" s="1"/>
  <c r="B44" i="5"/>
  <c r="E44" i="5" s="1"/>
  <c r="B45" i="5"/>
  <c r="E45" i="5" s="1"/>
  <c r="A6" i="5"/>
  <c r="D6" i="5" s="1"/>
  <c r="A7" i="5"/>
  <c r="D7" i="5" s="1"/>
  <c r="A8" i="5"/>
  <c r="D8" i="5" s="1"/>
  <c r="A9" i="5"/>
  <c r="D9" i="5" s="1"/>
  <c r="A10" i="5"/>
  <c r="D10" i="5" s="1"/>
  <c r="A11" i="5"/>
  <c r="D11" i="5" s="1"/>
  <c r="H11" i="5" s="1"/>
  <c r="A12" i="5"/>
  <c r="D12" i="5" s="1"/>
  <c r="A13" i="5"/>
  <c r="D13" i="5" s="1"/>
  <c r="A14" i="5"/>
  <c r="D14" i="5" s="1"/>
  <c r="A15" i="5"/>
  <c r="D15" i="5" s="1"/>
  <c r="A16" i="5"/>
  <c r="D16" i="5" s="1"/>
  <c r="A17" i="5"/>
  <c r="D17" i="5" s="1"/>
  <c r="H17" i="5" s="1"/>
  <c r="A18" i="5"/>
  <c r="D18" i="5" s="1"/>
  <c r="A19" i="5"/>
  <c r="D19" i="5" s="1"/>
  <c r="H19" i="5" s="1"/>
  <c r="A20" i="5"/>
  <c r="D20" i="5" s="1"/>
  <c r="A21" i="5"/>
  <c r="D21" i="5" s="1"/>
  <c r="A22" i="5"/>
  <c r="D22" i="5" s="1"/>
  <c r="A23" i="5"/>
  <c r="D23" i="5" s="1"/>
  <c r="A24" i="5"/>
  <c r="D24" i="5" s="1"/>
  <c r="A25" i="5"/>
  <c r="D25" i="5" s="1"/>
  <c r="H25" i="5" s="1"/>
  <c r="A26" i="5"/>
  <c r="D26" i="5" s="1"/>
  <c r="A27" i="5"/>
  <c r="D27" i="5" s="1"/>
  <c r="H27" i="5" s="1"/>
  <c r="A28" i="5"/>
  <c r="D28" i="5" s="1"/>
  <c r="A29" i="5"/>
  <c r="D29" i="5" s="1"/>
  <c r="A30" i="5"/>
  <c r="D30" i="5" s="1"/>
  <c r="A31" i="5"/>
  <c r="D31" i="5" s="1"/>
  <c r="A32" i="5"/>
  <c r="D32" i="5" s="1"/>
  <c r="A33" i="5"/>
  <c r="D33" i="5" s="1"/>
  <c r="A34" i="5"/>
  <c r="D34" i="5" s="1"/>
  <c r="A35" i="5"/>
  <c r="D35" i="5" s="1"/>
  <c r="A36" i="5"/>
  <c r="D36" i="5" s="1"/>
  <c r="A37" i="5"/>
  <c r="D37" i="5" s="1"/>
  <c r="A38" i="5"/>
  <c r="D38" i="5" s="1"/>
  <c r="A39" i="5"/>
  <c r="D39" i="5" s="1"/>
  <c r="A40" i="5"/>
  <c r="D40" i="5" s="1"/>
  <c r="A41" i="5"/>
  <c r="D41" i="5" s="1"/>
  <c r="A42" i="5"/>
  <c r="D42" i="5" s="1"/>
  <c r="A43" i="5"/>
  <c r="D43" i="5" s="1"/>
  <c r="A44" i="5"/>
  <c r="D44" i="5" s="1"/>
  <c r="A45" i="5"/>
  <c r="D45" i="5" s="1"/>
  <c r="E22" i="5"/>
  <c r="C4" i="5"/>
  <c r="A6" i="4"/>
  <c r="A7" i="4"/>
  <c r="D7" i="4" s="1"/>
  <c r="A8" i="4"/>
  <c r="A9" i="4"/>
  <c r="D9" i="4" s="1"/>
  <c r="A10" i="4"/>
  <c r="D10" i="4" s="1"/>
  <c r="A11" i="4"/>
  <c r="D11" i="4" s="1"/>
  <c r="A12" i="4"/>
  <c r="D12" i="4" s="1"/>
  <c r="A13" i="4"/>
  <c r="D13" i="4" s="1"/>
  <c r="A14" i="4"/>
  <c r="D14" i="4" s="1"/>
  <c r="A15" i="4"/>
  <c r="D15" i="4" s="1"/>
  <c r="A16" i="4"/>
  <c r="D16" i="4" s="1"/>
  <c r="A17" i="4"/>
  <c r="D17" i="4" s="1"/>
  <c r="A18" i="4"/>
  <c r="D18" i="4" s="1"/>
  <c r="A19" i="4"/>
  <c r="D19" i="4" s="1"/>
  <c r="A20" i="4"/>
  <c r="D20" i="4" s="1"/>
  <c r="A21" i="4"/>
  <c r="D21" i="4" s="1"/>
  <c r="A22" i="4"/>
  <c r="D22" i="4" s="1"/>
  <c r="A23" i="4"/>
  <c r="D23" i="4" s="1"/>
  <c r="A24" i="4"/>
  <c r="D24" i="4" s="1"/>
  <c r="A25" i="4"/>
  <c r="D25" i="4" s="1"/>
  <c r="A26" i="4"/>
  <c r="D26" i="4" s="1"/>
  <c r="A27" i="4"/>
  <c r="D27" i="4" s="1"/>
  <c r="A28" i="4"/>
  <c r="D28" i="4" s="1"/>
  <c r="A29" i="4"/>
  <c r="D29" i="4" s="1"/>
  <c r="A30" i="4"/>
  <c r="D30" i="4" s="1"/>
  <c r="A31" i="4"/>
  <c r="D31" i="4" s="1"/>
  <c r="A32" i="4"/>
  <c r="D32" i="4" s="1"/>
  <c r="A33" i="4"/>
  <c r="D33" i="4" s="1"/>
  <c r="A34" i="4"/>
  <c r="D34" i="4" s="1"/>
  <c r="A35" i="4"/>
  <c r="D35" i="4" s="1"/>
  <c r="A36" i="4"/>
  <c r="D36" i="4" s="1"/>
  <c r="A37" i="4"/>
  <c r="D37" i="4" s="1"/>
  <c r="A38" i="4"/>
  <c r="D38" i="4" s="1"/>
  <c r="A39" i="4"/>
  <c r="D39" i="4" s="1"/>
  <c r="A40" i="4"/>
  <c r="D40" i="4" s="1"/>
  <c r="A41" i="4"/>
  <c r="D41" i="4" s="1"/>
  <c r="A42" i="4"/>
  <c r="D42" i="4" s="1"/>
  <c r="A43" i="4"/>
  <c r="D43" i="4" s="1"/>
  <c r="A44" i="4"/>
  <c r="D44" i="4" s="1"/>
  <c r="A45" i="4"/>
  <c r="D45" i="4" s="1"/>
  <c r="B45" i="4"/>
  <c r="E45" i="4" s="1"/>
  <c r="I45" i="4" s="1"/>
  <c r="B44" i="4"/>
  <c r="E44" i="4" s="1"/>
  <c r="B43" i="4"/>
  <c r="E43" i="4" s="1"/>
  <c r="B42" i="4"/>
  <c r="E42" i="4" s="1"/>
  <c r="B41" i="4"/>
  <c r="E41" i="4" s="1"/>
  <c r="B40" i="4"/>
  <c r="E40" i="4" s="1"/>
  <c r="I40" i="4" s="1"/>
  <c r="B39" i="4"/>
  <c r="E39" i="4" s="1"/>
  <c r="I39" i="4" s="1"/>
  <c r="B38" i="4"/>
  <c r="E38" i="4" s="1"/>
  <c r="I38" i="4" s="1"/>
  <c r="B37" i="4"/>
  <c r="E37" i="4" s="1"/>
  <c r="I37" i="4" s="1"/>
  <c r="B36" i="4"/>
  <c r="E36" i="4" s="1"/>
  <c r="I36" i="4" s="1"/>
  <c r="B35" i="4"/>
  <c r="E35" i="4" s="1"/>
  <c r="I35" i="4" s="1"/>
  <c r="B34" i="4"/>
  <c r="E34" i="4" s="1"/>
  <c r="I34" i="4" s="1"/>
  <c r="B33" i="4"/>
  <c r="E33" i="4" s="1"/>
  <c r="B32" i="4"/>
  <c r="E32" i="4" s="1"/>
  <c r="I32" i="4" s="1"/>
  <c r="B31" i="4"/>
  <c r="E31" i="4" s="1"/>
  <c r="I31" i="4" s="1"/>
  <c r="B30" i="4"/>
  <c r="E30" i="4" s="1"/>
  <c r="B29" i="4"/>
  <c r="E29" i="4" s="1"/>
  <c r="I29" i="4" s="1"/>
  <c r="B28" i="4"/>
  <c r="E28" i="4" s="1"/>
  <c r="I28" i="4" s="1"/>
  <c r="B27" i="4"/>
  <c r="E27" i="4" s="1"/>
  <c r="I27" i="4" s="1"/>
  <c r="B26" i="4"/>
  <c r="E26" i="4" s="1"/>
  <c r="I26" i="4" s="1"/>
  <c r="B25" i="4"/>
  <c r="E25" i="4" s="1"/>
  <c r="B24" i="4"/>
  <c r="E24" i="4" s="1"/>
  <c r="I24" i="4" s="1"/>
  <c r="B23" i="4"/>
  <c r="E23" i="4" s="1"/>
  <c r="I23" i="4" s="1"/>
  <c r="B22" i="4"/>
  <c r="E22" i="4" s="1"/>
  <c r="B21" i="4"/>
  <c r="E21" i="4" s="1"/>
  <c r="I21" i="4" s="1"/>
  <c r="B20" i="4"/>
  <c r="E20" i="4" s="1"/>
  <c r="I20" i="4" s="1"/>
  <c r="B19" i="4"/>
  <c r="E19" i="4" s="1"/>
  <c r="I19" i="4" s="1"/>
  <c r="B18" i="4"/>
  <c r="E18" i="4" s="1"/>
  <c r="I18" i="4" s="1"/>
  <c r="B17" i="4"/>
  <c r="E17" i="4" s="1"/>
  <c r="B16" i="4"/>
  <c r="E16" i="4" s="1"/>
  <c r="I16" i="4" s="1"/>
  <c r="B15" i="4"/>
  <c r="B14" i="4"/>
  <c r="B13" i="4"/>
  <c r="B12" i="4"/>
  <c r="B11" i="4"/>
  <c r="B10" i="4"/>
  <c r="B9" i="4"/>
  <c r="B8" i="4"/>
  <c r="B7" i="4"/>
  <c r="B6" i="4"/>
  <c r="C4" i="4"/>
  <c r="C4" i="3"/>
  <c r="A6" i="3"/>
  <c r="B6" i="3"/>
  <c r="A7" i="3"/>
  <c r="D7" i="3" s="1"/>
  <c r="B7" i="3"/>
  <c r="A8" i="3"/>
  <c r="B8" i="3"/>
  <c r="A9" i="3"/>
  <c r="D9" i="3" s="1"/>
  <c r="B9" i="3"/>
  <c r="A10" i="3"/>
  <c r="B10" i="3"/>
  <c r="A11" i="3"/>
  <c r="D11" i="3" s="1"/>
  <c r="B11" i="3"/>
  <c r="A12" i="3"/>
  <c r="D12" i="3" s="1"/>
  <c r="B12" i="3"/>
  <c r="A13" i="3"/>
  <c r="D13" i="3" s="1"/>
  <c r="B13" i="3"/>
  <c r="A14" i="3"/>
  <c r="D14" i="3" s="1"/>
  <c r="B14" i="3"/>
  <c r="A15" i="3"/>
  <c r="D15" i="3" s="1"/>
  <c r="B15" i="3"/>
  <c r="A16" i="3"/>
  <c r="D16" i="3" s="1"/>
  <c r="B16" i="3"/>
  <c r="E16" i="3" s="1"/>
  <c r="I16" i="3" s="1"/>
  <c r="A17" i="3"/>
  <c r="D17" i="3" s="1"/>
  <c r="B17" i="3"/>
  <c r="E17" i="3" s="1"/>
  <c r="I17" i="3" s="1"/>
  <c r="A18" i="3"/>
  <c r="B18" i="3"/>
  <c r="E18" i="3" s="1"/>
  <c r="A19" i="3"/>
  <c r="D19" i="3" s="1"/>
  <c r="B19" i="3"/>
  <c r="E19" i="3" s="1"/>
  <c r="I19" i="3" s="1"/>
  <c r="A20" i="3"/>
  <c r="D20" i="3" s="1"/>
  <c r="B20" i="3"/>
  <c r="E20" i="3" s="1"/>
  <c r="I20" i="3" s="1"/>
  <c r="A21" i="3"/>
  <c r="D21" i="3" s="1"/>
  <c r="B21" i="3"/>
  <c r="E21" i="3" s="1"/>
  <c r="I21" i="3" s="1"/>
  <c r="A22" i="3"/>
  <c r="D22" i="3" s="1"/>
  <c r="B22" i="3"/>
  <c r="E22" i="3" s="1"/>
  <c r="I22" i="3" s="1"/>
  <c r="A23" i="3"/>
  <c r="D23" i="3" s="1"/>
  <c r="B23" i="3"/>
  <c r="E23" i="3" s="1"/>
  <c r="I23" i="3" s="1"/>
  <c r="A24" i="3"/>
  <c r="D24" i="3" s="1"/>
  <c r="B24" i="3"/>
  <c r="E24" i="3" s="1"/>
  <c r="I24" i="3" s="1"/>
  <c r="A25" i="3"/>
  <c r="D25" i="3" s="1"/>
  <c r="B25" i="3"/>
  <c r="E25" i="3" s="1"/>
  <c r="I25" i="3" s="1"/>
  <c r="A26" i="3"/>
  <c r="B26" i="3"/>
  <c r="E26" i="3" s="1"/>
  <c r="A27" i="3"/>
  <c r="D27" i="3" s="1"/>
  <c r="B27" i="3"/>
  <c r="E27" i="3" s="1"/>
  <c r="I27" i="3" s="1"/>
  <c r="A28" i="3"/>
  <c r="D28" i="3" s="1"/>
  <c r="B28" i="3"/>
  <c r="E28" i="3" s="1"/>
  <c r="I28" i="3" s="1"/>
  <c r="A29" i="3"/>
  <c r="D29" i="3" s="1"/>
  <c r="B29" i="3"/>
  <c r="E29" i="3" s="1"/>
  <c r="I29" i="3" s="1"/>
  <c r="A30" i="3"/>
  <c r="D30" i="3" s="1"/>
  <c r="B30" i="3"/>
  <c r="E30" i="3" s="1"/>
  <c r="I30" i="3" s="1"/>
  <c r="A31" i="3"/>
  <c r="D31" i="3" s="1"/>
  <c r="B31" i="3"/>
  <c r="E31" i="3" s="1"/>
  <c r="I31" i="3" s="1"/>
  <c r="A32" i="3"/>
  <c r="D32" i="3" s="1"/>
  <c r="B32" i="3"/>
  <c r="E32" i="3" s="1"/>
  <c r="I32" i="3" s="1"/>
  <c r="A33" i="3"/>
  <c r="D33" i="3" s="1"/>
  <c r="B33" i="3"/>
  <c r="E33" i="3" s="1"/>
  <c r="I33" i="3" s="1"/>
  <c r="A34" i="3"/>
  <c r="B34" i="3"/>
  <c r="E34" i="3" s="1"/>
  <c r="A35" i="3"/>
  <c r="B35" i="3"/>
  <c r="E35" i="3" s="1"/>
  <c r="A36" i="3"/>
  <c r="D36" i="3" s="1"/>
  <c r="B36" i="3"/>
  <c r="E36" i="3" s="1"/>
  <c r="I36" i="3" s="1"/>
  <c r="A37" i="3"/>
  <c r="D37" i="3" s="1"/>
  <c r="B37" i="3"/>
  <c r="E37" i="3" s="1"/>
  <c r="I37" i="3" s="1"/>
  <c r="A38" i="3"/>
  <c r="B38" i="3"/>
  <c r="E38" i="3" s="1"/>
  <c r="A39" i="3"/>
  <c r="B39" i="3"/>
  <c r="E39" i="3" s="1"/>
  <c r="A40" i="3"/>
  <c r="D40" i="3" s="1"/>
  <c r="B40" i="3"/>
  <c r="E40" i="3" s="1"/>
  <c r="I40" i="3" s="1"/>
  <c r="A41" i="3"/>
  <c r="D41" i="3" s="1"/>
  <c r="B41" i="3"/>
  <c r="E41" i="3" s="1"/>
  <c r="I41" i="3" s="1"/>
  <c r="A42" i="3"/>
  <c r="D42" i="3" s="1"/>
  <c r="B42" i="3"/>
  <c r="E42" i="3" s="1"/>
  <c r="I42" i="3" s="1"/>
  <c r="A43" i="3"/>
  <c r="D43" i="3" s="1"/>
  <c r="B43" i="3"/>
  <c r="E43" i="3" s="1"/>
  <c r="I43" i="3" s="1"/>
  <c r="A44" i="3"/>
  <c r="D44" i="3" s="1"/>
  <c r="B44" i="3"/>
  <c r="E44" i="3" s="1"/>
  <c r="I44" i="3" s="1"/>
  <c r="A45" i="3"/>
  <c r="D45" i="3" s="1"/>
  <c r="B45" i="3"/>
  <c r="E45" i="3" s="1"/>
  <c r="I45" i="3" s="1"/>
  <c r="D6" i="2"/>
  <c r="D7" i="2"/>
  <c r="D8" i="2"/>
  <c r="D9" i="2"/>
  <c r="D10" i="2"/>
  <c r="D11" i="2"/>
  <c r="D12" i="2"/>
  <c r="D13" i="2"/>
  <c r="D14" i="2"/>
  <c r="H14" i="2" s="1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E12" i="5" l="1"/>
  <c r="K12" i="5"/>
  <c r="E11" i="5"/>
  <c r="K11" i="5"/>
  <c r="E10" i="5"/>
  <c r="I10" i="5" s="1"/>
  <c r="K10" i="5"/>
  <c r="I4" i="7"/>
  <c r="D59" i="7" s="1"/>
  <c r="E13" i="5"/>
  <c r="I13" i="5" s="1"/>
  <c r="K13" i="5"/>
  <c r="E63" i="10"/>
  <c r="E14" i="5"/>
  <c r="G14" i="5" s="1"/>
  <c r="K14" i="5"/>
  <c r="E15" i="5"/>
  <c r="I15" i="5" s="1"/>
  <c r="K15" i="5"/>
  <c r="L8" i="9"/>
  <c r="M8" i="9" s="1"/>
  <c r="L15" i="9"/>
  <c r="M15" i="9" s="1"/>
  <c r="L7" i="9"/>
  <c r="M7" i="9" s="1"/>
  <c r="L14" i="9"/>
  <c r="M14" i="9" s="1"/>
  <c r="L6" i="9"/>
  <c r="L13" i="9"/>
  <c r="M13" i="9" s="1"/>
  <c r="L12" i="9"/>
  <c r="M12" i="9" s="1"/>
  <c r="L11" i="9"/>
  <c r="M11" i="9" s="1"/>
  <c r="L9" i="9"/>
  <c r="M9" i="9" s="1"/>
  <c r="L10" i="9"/>
  <c r="M10" i="9" s="1"/>
  <c r="L8" i="10"/>
  <c r="M8" i="10" s="1"/>
  <c r="L15" i="10"/>
  <c r="M15" i="10" s="1"/>
  <c r="L7" i="10"/>
  <c r="M7" i="10" s="1"/>
  <c r="L14" i="10"/>
  <c r="M14" i="10" s="1"/>
  <c r="L6" i="10"/>
  <c r="L13" i="10"/>
  <c r="M13" i="10" s="1"/>
  <c r="L12" i="10"/>
  <c r="M12" i="10" s="1"/>
  <c r="L9" i="10"/>
  <c r="M9" i="10" s="1"/>
  <c r="L11" i="10"/>
  <c r="M11" i="10" s="1"/>
  <c r="L10" i="10"/>
  <c r="M10" i="10" s="1"/>
  <c r="E15" i="4"/>
  <c r="I15" i="4" s="1"/>
  <c r="K15" i="4"/>
  <c r="E15" i="3"/>
  <c r="I15" i="3" s="1"/>
  <c r="K15" i="3"/>
  <c r="E14" i="4"/>
  <c r="I14" i="4" s="1"/>
  <c r="K14" i="4"/>
  <c r="E14" i="3"/>
  <c r="I14" i="3" s="1"/>
  <c r="K14" i="3"/>
  <c r="E13" i="3"/>
  <c r="I13" i="3" s="1"/>
  <c r="K13" i="3"/>
  <c r="E13" i="4"/>
  <c r="I13" i="4" s="1"/>
  <c r="K13" i="4"/>
  <c r="E12" i="4"/>
  <c r="I12" i="4" s="1"/>
  <c r="K12" i="4"/>
  <c r="E12" i="3"/>
  <c r="I12" i="3" s="1"/>
  <c r="K12" i="3"/>
  <c r="E11" i="3"/>
  <c r="I11" i="3" s="1"/>
  <c r="K11" i="3"/>
  <c r="E11" i="4"/>
  <c r="I11" i="4" s="1"/>
  <c r="K11" i="4"/>
  <c r="C54" i="8"/>
  <c r="C52" i="8" s="1"/>
  <c r="E10" i="3"/>
  <c r="I10" i="3" s="1"/>
  <c r="K10" i="3"/>
  <c r="E10" i="4"/>
  <c r="I10" i="4" s="1"/>
  <c r="K10" i="4"/>
  <c r="B64" i="9"/>
  <c r="B64" i="10"/>
  <c r="E63" i="9"/>
  <c r="E61" i="9"/>
  <c r="E61" i="10"/>
  <c r="E9" i="4"/>
  <c r="I9" i="4" s="1"/>
  <c r="K9" i="4"/>
  <c r="E9" i="3"/>
  <c r="I9" i="3" s="1"/>
  <c r="K9" i="3"/>
  <c r="E8" i="4"/>
  <c r="I8" i="4" s="1"/>
  <c r="K8" i="4"/>
  <c r="E8" i="3"/>
  <c r="I8" i="3" s="1"/>
  <c r="K8" i="3"/>
  <c r="E7" i="4"/>
  <c r="K7" i="4"/>
  <c r="E7" i="3"/>
  <c r="I7" i="3" s="1"/>
  <c r="K7" i="3"/>
  <c r="E6" i="4"/>
  <c r="I6" i="4" s="1"/>
  <c r="K6" i="4"/>
  <c r="E6" i="3"/>
  <c r="I6" i="3" s="1"/>
  <c r="K6" i="3"/>
  <c r="F7" i="9"/>
  <c r="F39" i="9"/>
  <c r="I10" i="1"/>
  <c r="H4" i="6"/>
  <c r="D59" i="6" s="1"/>
  <c r="D8" i="3"/>
  <c r="D8" i="4"/>
  <c r="F37" i="10"/>
  <c r="F6" i="10"/>
  <c r="D38" i="3"/>
  <c r="H38" i="3" s="1"/>
  <c r="D34" i="3"/>
  <c r="H34" i="3" s="1"/>
  <c r="D26" i="3"/>
  <c r="H26" i="3" s="1"/>
  <c r="D18" i="3"/>
  <c r="G18" i="3" s="1"/>
  <c r="D10" i="3"/>
  <c r="H10" i="3" s="1"/>
  <c r="G4" i="6"/>
  <c r="D58" i="6" s="1"/>
  <c r="D39" i="3"/>
  <c r="G39" i="3" s="1"/>
  <c r="D35" i="3"/>
  <c r="H35" i="3" s="1"/>
  <c r="D6" i="3"/>
  <c r="H6" i="3" s="1"/>
  <c r="D6" i="4"/>
  <c r="F29" i="9"/>
  <c r="F13" i="9"/>
  <c r="F43" i="9"/>
  <c r="F18" i="9"/>
  <c r="F9" i="9"/>
  <c r="F32" i="9"/>
  <c r="F38" i="9"/>
  <c r="F6" i="9"/>
  <c r="F34" i="9"/>
  <c r="F11" i="9"/>
  <c r="F44" i="9"/>
  <c r="I11" i="1"/>
  <c r="F10" i="9"/>
  <c r="F22" i="9"/>
  <c r="F41" i="9"/>
  <c r="F31" i="9"/>
  <c r="F20" i="9"/>
  <c r="F33" i="9"/>
  <c r="F23" i="9"/>
  <c r="F35" i="9"/>
  <c r="F30" i="9"/>
  <c r="F37" i="9"/>
  <c r="F19" i="9"/>
  <c r="F25" i="9"/>
  <c r="F24" i="9"/>
  <c r="F16" i="9"/>
  <c r="F45" i="9"/>
  <c r="F14" i="9"/>
  <c r="F42" i="9"/>
  <c r="F15" i="9"/>
  <c r="F21" i="9"/>
  <c r="F27" i="9"/>
  <c r="F26" i="9"/>
  <c r="F12" i="9"/>
  <c r="F8" i="9"/>
  <c r="F36" i="9"/>
  <c r="F28" i="9"/>
  <c r="F17" i="9"/>
  <c r="F40" i="9"/>
  <c r="F44" i="10"/>
  <c r="F26" i="10"/>
  <c r="F10" i="10"/>
  <c r="F43" i="10"/>
  <c r="F45" i="10"/>
  <c r="F24" i="10"/>
  <c r="F40" i="10"/>
  <c r="F17" i="10"/>
  <c r="F7" i="10"/>
  <c r="F28" i="10"/>
  <c r="F11" i="10"/>
  <c r="F13" i="10"/>
  <c r="F31" i="10"/>
  <c r="F27" i="10"/>
  <c r="F8" i="10"/>
  <c r="F42" i="10"/>
  <c r="F29" i="10"/>
  <c r="F33" i="10"/>
  <c r="F12" i="10"/>
  <c r="F22" i="10"/>
  <c r="F32" i="10"/>
  <c r="F15" i="10"/>
  <c r="F19" i="10"/>
  <c r="F36" i="10"/>
  <c r="F23" i="10"/>
  <c r="F9" i="10"/>
  <c r="F18" i="10"/>
  <c r="F35" i="10"/>
  <c r="F30" i="10"/>
  <c r="F39" i="10"/>
  <c r="F25" i="10"/>
  <c r="F34" i="10"/>
  <c r="F38" i="10"/>
  <c r="F21" i="10"/>
  <c r="F16" i="10"/>
  <c r="F41" i="10"/>
  <c r="F14" i="10"/>
  <c r="F20" i="10"/>
  <c r="H35" i="4"/>
  <c r="H19" i="4"/>
  <c r="H44" i="4"/>
  <c r="H36" i="4"/>
  <c r="H42" i="4"/>
  <c r="H26" i="4"/>
  <c r="H18" i="4"/>
  <c r="G41" i="4"/>
  <c r="H33" i="4"/>
  <c r="H25" i="4"/>
  <c r="G17" i="4"/>
  <c r="G40" i="4"/>
  <c r="H32" i="4"/>
  <c r="H24" i="4"/>
  <c r="G16" i="4"/>
  <c r="H31" i="4"/>
  <c r="H23" i="4"/>
  <c r="H43" i="4"/>
  <c r="H30" i="4"/>
  <c r="G22" i="4"/>
  <c r="H27" i="4"/>
  <c r="H45" i="4"/>
  <c r="G37" i="4"/>
  <c r="G29" i="4"/>
  <c r="G4" i="7"/>
  <c r="C54" i="7" s="1"/>
  <c r="H15" i="4"/>
  <c r="H14" i="4"/>
  <c r="H11" i="4"/>
  <c r="G21" i="3"/>
  <c r="G32" i="3"/>
  <c r="G28" i="4"/>
  <c r="G20" i="4"/>
  <c r="G29" i="3"/>
  <c r="G39" i="4"/>
  <c r="G38" i="4"/>
  <c r="G21" i="4"/>
  <c r="G10" i="4"/>
  <c r="E7" i="5"/>
  <c r="I7" i="5" s="1"/>
  <c r="E9" i="5"/>
  <c r="G9" i="5" s="1"/>
  <c r="E8" i="5"/>
  <c r="G8" i="5" s="1"/>
  <c r="E6" i="5"/>
  <c r="I6" i="5" s="1"/>
  <c r="H33" i="5"/>
  <c r="H30" i="5"/>
  <c r="H22" i="5"/>
  <c r="H14" i="5"/>
  <c r="H37" i="5"/>
  <c r="H36" i="5"/>
  <c r="I41" i="5"/>
  <c r="I21" i="5"/>
  <c r="I45" i="5"/>
  <c r="I18" i="5"/>
  <c r="I42" i="5"/>
  <c r="I24" i="5"/>
  <c r="I33" i="5"/>
  <c r="I25" i="5"/>
  <c r="I17" i="5"/>
  <c r="I23" i="5"/>
  <c r="I32" i="5"/>
  <c r="I43" i="5"/>
  <c r="I12" i="5"/>
  <c r="I44" i="5"/>
  <c r="G26" i="3"/>
  <c r="G34" i="4"/>
  <c r="H34" i="4"/>
  <c r="G17" i="3"/>
  <c r="G25" i="3"/>
  <c r="H9" i="4"/>
  <c r="G12" i="5"/>
  <c r="G20" i="5"/>
  <c r="G28" i="5"/>
  <c r="G39" i="5"/>
  <c r="H39" i="5"/>
  <c r="G38" i="5"/>
  <c r="H38" i="5"/>
  <c r="G33" i="3"/>
  <c r="G40" i="3"/>
  <c r="G24" i="3"/>
  <c r="H42" i="5"/>
  <c r="G42" i="5"/>
  <c r="H23" i="5"/>
  <c r="G23" i="5"/>
  <c r="H6" i="5"/>
  <c r="D4" i="5"/>
  <c r="G11" i="5"/>
  <c r="I11" i="5"/>
  <c r="H21" i="5"/>
  <c r="G21" i="5"/>
  <c r="H26" i="5"/>
  <c r="G26" i="5"/>
  <c r="H40" i="5"/>
  <c r="G40" i="5"/>
  <c r="H43" i="5"/>
  <c r="G43" i="5"/>
  <c r="H18" i="5"/>
  <c r="G18" i="5"/>
  <c r="H9" i="5"/>
  <c r="H16" i="5"/>
  <c r="G16" i="5"/>
  <c r="H31" i="5"/>
  <c r="G31" i="5"/>
  <c r="I36" i="5"/>
  <c r="G36" i="5"/>
  <c r="I14" i="5"/>
  <c r="I19" i="5"/>
  <c r="G19" i="5"/>
  <c r="H29" i="5"/>
  <c r="G29" i="5"/>
  <c r="H34" i="5"/>
  <c r="G34" i="5"/>
  <c r="H44" i="5"/>
  <c r="G44" i="5"/>
  <c r="H8" i="5"/>
  <c r="H7" i="5"/>
  <c r="H24" i="5"/>
  <c r="G24" i="5"/>
  <c r="H13" i="5"/>
  <c r="I30" i="5"/>
  <c r="G30" i="5"/>
  <c r="H10" i="5"/>
  <c r="G10" i="5"/>
  <c r="I22" i="5"/>
  <c r="G22" i="5"/>
  <c r="I27" i="5"/>
  <c r="G27" i="5"/>
  <c r="G37" i="5"/>
  <c r="I37" i="5"/>
  <c r="H41" i="5"/>
  <c r="G41" i="5"/>
  <c r="H45" i="5"/>
  <c r="G45" i="5"/>
  <c r="H15" i="5"/>
  <c r="G15" i="5"/>
  <c r="H32" i="5"/>
  <c r="G32" i="5"/>
  <c r="H35" i="5"/>
  <c r="G35" i="5"/>
  <c r="G17" i="5"/>
  <c r="G25" i="5"/>
  <c r="G33" i="5"/>
  <c r="H12" i="5"/>
  <c r="H20" i="5"/>
  <c r="H28" i="5"/>
  <c r="H7" i="4"/>
  <c r="G18" i="4"/>
  <c r="H10" i="4"/>
  <c r="H21" i="4"/>
  <c r="G24" i="4"/>
  <c r="G23" i="4"/>
  <c r="H13" i="4"/>
  <c r="G9" i="3"/>
  <c r="I41" i="4"/>
  <c r="G9" i="4"/>
  <c r="I30" i="4"/>
  <c r="G30" i="4"/>
  <c r="G26" i="4"/>
  <c r="I42" i="4"/>
  <c r="I44" i="4"/>
  <c r="I33" i="4"/>
  <c r="I7" i="4"/>
  <c r="G7" i="4"/>
  <c r="I17" i="4"/>
  <c r="I22" i="4"/>
  <c r="I25" i="4"/>
  <c r="G25" i="4"/>
  <c r="I43" i="4"/>
  <c r="G43" i="4"/>
  <c r="G11" i="4"/>
  <c r="H12" i="4"/>
  <c r="G19" i="4"/>
  <c r="H20" i="4"/>
  <c r="G27" i="4"/>
  <c r="H28" i="4"/>
  <c r="G36" i="4"/>
  <c r="H38" i="4"/>
  <c r="H39" i="4"/>
  <c r="G31" i="4"/>
  <c r="G45" i="4"/>
  <c r="I38" i="3"/>
  <c r="H27" i="3"/>
  <c r="G27" i="3"/>
  <c r="H12" i="3"/>
  <c r="H36" i="3"/>
  <c r="G36" i="3"/>
  <c r="H19" i="3"/>
  <c r="G19" i="3"/>
  <c r="H14" i="3"/>
  <c r="G43" i="3"/>
  <c r="H43" i="3"/>
  <c r="G15" i="3"/>
  <c r="H15" i="3"/>
  <c r="G22" i="3"/>
  <c r="H22" i="3"/>
  <c r="G42" i="3"/>
  <c r="H42" i="3"/>
  <c r="G45" i="3"/>
  <c r="H45" i="3"/>
  <c r="G41" i="3"/>
  <c r="H41" i="3"/>
  <c r="I39" i="3"/>
  <c r="G31" i="3"/>
  <c r="H31" i="3"/>
  <c r="G28" i="3"/>
  <c r="H28" i="3"/>
  <c r="G16" i="3"/>
  <c r="G13" i="3"/>
  <c r="H11" i="3"/>
  <c r="G11" i="3"/>
  <c r="H37" i="3"/>
  <c r="G37" i="3"/>
  <c r="G44" i="3"/>
  <c r="H44" i="3"/>
  <c r="G23" i="3"/>
  <c r="H23" i="3"/>
  <c r="G20" i="3"/>
  <c r="H20" i="3"/>
  <c r="G30" i="3"/>
  <c r="H30" i="3"/>
  <c r="H40" i="3"/>
  <c r="H29" i="3"/>
  <c r="H21" i="3"/>
  <c r="H13" i="3"/>
  <c r="H32" i="3"/>
  <c r="H24" i="3"/>
  <c r="H16" i="3"/>
  <c r="H9" i="3"/>
  <c r="H7" i="3"/>
  <c r="I35" i="3"/>
  <c r="I34" i="3"/>
  <c r="H33" i="3"/>
  <c r="I26" i="3"/>
  <c r="H25" i="3"/>
  <c r="I18" i="3"/>
  <c r="H17" i="3"/>
  <c r="C4" i="2"/>
  <c r="A6" i="2"/>
  <c r="B6" i="2"/>
  <c r="K6" i="2" s="1"/>
  <c r="A7" i="2"/>
  <c r="B7" i="2"/>
  <c r="K7" i="2" s="1"/>
  <c r="A8" i="2"/>
  <c r="B8" i="2"/>
  <c r="K8" i="2" s="1"/>
  <c r="A9" i="2"/>
  <c r="B9" i="2"/>
  <c r="K9" i="2" s="1"/>
  <c r="A10" i="2"/>
  <c r="B10" i="2"/>
  <c r="K10" i="2" s="1"/>
  <c r="A11" i="2"/>
  <c r="B11" i="2"/>
  <c r="K11" i="2" s="1"/>
  <c r="A12" i="2"/>
  <c r="B12" i="2"/>
  <c r="K12" i="2" s="1"/>
  <c r="A13" i="2"/>
  <c r="B13" i="2"/>
  <c r="K13" i="2" s="1"/>
  <c r="A14" i="2"/>
  <c r="B14" i="2"/>
  <c r="K14" i="2" s="1"/>
  <c r="A15" i="2"/>
  <c r="B15" i="2"/>
  <c r="K15" i="2" s="1"/>
  <c r="A16" i="2"/>
  <c r="B16" i="2"/>
  <c r="A17" i="2"/>
  <c r="B17" i="2"/>
  <c r="A18" i="2"/>
  <c r="B18" i="2"/>
  <c r="A19" i="2"/>
  <c r="B19" i="2"/>
  <c r="A20" i="2"/>
  <c r="B20" i="2"/>
  <c r="A21" i="2"/>
  <c r="B21" i="2"/>
  <c r="A22" i="2"/>
  <c r="B22" i="2"/>
  <c r="A23" i="2"/>
  <c r="B23" i="2"/>
  <c r="A24" i="2"/>
  <c r="B24" i="2"/>
  <c r="A25" i="2"/>
  <c r="B25" i="2"/>
  <c r="A26" i="2"/>
  <c r="B26" i="2"/>
  <c r="A27" i="2"/>
  <c r="B27" i="2"/>
  <c r="A28" i="2"/>
  <c r="B28" i="2"/>
  <c r="A29" i="2"/>
  <c r="B29" i="2"/>
  <c r="A30" i="2"/>
  <c r="B30" i="2"/>
  <c r="A31" i="2"/>
  <c r="B31" i="2"/>
  <c r="A32" i="2"/>
  <c r="B32" i="2"/>
  <c r="A33" i="2"/>
  <c r="B33" i="2"/>
  <c r="A34" i="2"/>
  <c r="B34" i="2"/>
  <c r="A35" i="2"/>
  <c r="B35" i="2"/>
  <c r="A36" i="2"/>
  <c r="B36" i="2"/>
  <c r="A37" i="2"/>
  <c r="B37" i="2"/>
  <c r="A38" i="2"/>
  <c r="B38" i="2"/>
  <c r="A39" i="2"/>
  <c r="B39" i="2"/>
  <c r="A40" i="2"/>
  <c r="B40" i="2"/>
  <c r="A41" i="2"/>
  <c r="B41" i="2"/>
  <c r="A42" i="2"/>
  <c r="B42" i="2"/>
  <c r="A43" i="2"/>
  <c r="B43" i="2"/>
  <c r="A44" i="2"/>
  <c r="B44" i="2"/>
  <c r="B45" i="2"/>
  <c r="G12" i="4" l="1"/>
  <c r="G14" i="4"/>
  <c r="G13" i="5"/>
  <c r="G8" i="4"/>
  <c r="G13" i="4"/>
  <c r="G7" i="3"/>
  <c r="G12" i="3"/>
  <c r="G14" i="3"/>
  <c r="M6" i="10"/>
  <c r="M46" i="10" s="1"/>
  <c r="L48" i="10"/>
  <c r="L48" i="9"/>
  <c r="M6" i="9"/>
  <c r="M46" i="9" s="1"/>
  <c r="F12" i="8"/>
  <c r="L8" i="8"/>
  <c r="M8" i="8" s="1"/>
  <c r="L15" i="8"/>
  <c r="M15" i="8" s="1"/>
  <c r="L7" i="8"/>
  <c r="M7" i="8" s="1"/>
  <c r="L14" i="8"/>
  <c r="M14" i="8" s="1"/>
  <c r="L6" i="8"/>
  <c r="L13" i="8"/>
  <c r="M13" i="8" s="1"/>
  <c r="L9" i="8"/>
  <c r="M9" i="8" s="1"/>
  <c r="L12" i="8"/>
  <c r="M12" i="8" s="1"/>
  <c r="L11" i="8"/>
  <c r="M11" i="8" s="1"/>
  <c r="L10" i="8"/>
  <c r="M10" i="8" s="1"/>
  <c r="B64" i="8"/>
  <c r="E61" i="8"/>
  <c r="E63" i="8"/>
  <c r="C54" i="6"/>
  <c r="C52" i="6" s="1"/>
  <c r="G8" i="3"/>
  <c r="E4" i="3"/>
  <c r="H8" i="3"/>
  <c r="E4" i="4"/>
  <c r="D58" i="7"/>
  <c r="G34" i="3"/>
  <c r="G6" i="3"/>
  <c r="F29" i="8"/>
  <c r="I4" i="4"/>
  <c r="F37" i="8"/>
  <c r="G38" i="3"/>
  <c r="D4" i="4"/>
  <c r="G35" i="3"/>
  <c r="H8" i="4"/>
  <c r="F14" i="8"/>
  <c r="F10" i="8"/>
  <c r="F28" i="8"/>
  <c r="F43" i="8"/>
  <c r="F44" i="8"/>
  <c r="F21" i="8"/>
  <c r="F38" i="8"/>
  <c r="F23" i="8"/>
  <c r="F8" i="8"/>
  <c r="F11" i="8"/>
  <c r="F39" i="8"/>
  <c r="F31" i="8"/>
  <c r="F17" i="8"/>
  <c r="F19" i="8"/>
  <c r="F6" i="8"/>
  <c r="F42" i="8"/>
  <c r="F33" i="8"/>
  <c r="F27" i="8"/>
  <c r="F22" i="8"/>
  <c r="F7" i="8"/>
  <c r="F9" i="8"/>
  <c r="F40" i="8"/>
  <c r="F36" i="8"/>
  <c r="F20" i="8"/>
  <c r="F30" i="8"/>
  <c r="F16" i="8"/>
  <c r="F26" i="8"/>
  <c r="F24" i="8"/>
  <c r="F13" i="8"/>
  <c r="F41" i="8"/>
  <c r="F32" i="8"/>
  <c r="F35" i="8"/>
  <c r="F15" i="8"/>
  <c r="F34" i="8"/>
  <c r="F18" i="8"/>
  <c r="F45" i="8"/>
  <c r="F25" i="8"/>
  <c r="I4" i="3"/>
  <c r="D4" i="3"/>
  <c r="H6" i="4"/>
  <c r="G6" i="4"/>
  <c r="G10" i="3"/>
  <c r="H39" i="3"/>
  <c r="H18" i="3"/>
  <c r="I9" i="1"/>
  <c r="E4" i="5"/>
  <c r="G33" i="4"/>
  <c r="H29" i="4"/>
  <c r="H22" i="4"/>
  <c r="H40" i="4"/>
  <c r="H41" i="4"/>
  <c r="G32" i="4"/>
  <c r="G44" i="4"/>
  <c r="H37" i="4"/>
  <c r="H16" i="4"/>
  <c r="H17" i="4"/>
  <c r="G35" i="4"/>
  <c r="G42" i="4"/>
  <c r="G15" i="4"/>
  <c r="G7" i="5"/>
  <c r="G6" i="5"/>
  <c r="I9" i="5"/>
  <c r="I8" i="5"/>
  <c r="H4" i="5"/>
  <c r="H7" i="2"/>
  <c r="E45" i="2"/>
  <c r="I45" i="2" s="1"/>
  <c r="E44" i="2"/>
  <c r="I44" i="2" s="1"/>
  <c r="E43" i="2"/>
  <c r="I43" i="2" s="1"/>
  <c r="E42" i="2"/>
  <c r="I42" i="2" s="1"/>
  <c r="E41" i="2"/>
  <c r="I41" i="2" s="1"/>
  <c r="E40" i="2"/>
  <c r="I40" i="2" s="1"/>
  <c r="E39" i="2"/>
  <c r="I39" i="2" s="1"/>
  <c r="E38" i="2"/>
  <c r="I38" i="2" s="1"/>
  <c r="E37" i="2"/>
  <c r="I37" i="2" s="1"/>
  <c r="E36" i="2"/>
  <c r="I36" i="2" s="1"/>
  <c r="E35" i="2"/>
  <c r="I35" i="2" s="1"/>
  <c r="E34" i="2"/>
  <c r="I34" i="2" s="1"/>
  <c r="E33" i="2"/>
  <c r="I33" i="2" s="1"/>
  <c r="E32" i="2"/>
  <c r="I32" i="2" s="1"/>
  <c r="E31" i="2"/>
  <c r="I31" i="2" s="1"/>
  <c r="E30" i="2"/>
  <c r="I30" i="2" s="1"/>
  <c r="E29" i="2"/>
  <c r="I29" i="2" s="1"/>
  <c r="E28" i="2"/>
  <c r="I28" i="2" s="1"/>
  <c r="E27" i="2"/>
  <c r="I27" i="2" s="1"/>
  <c r="E26" i="2"/>
  <c r="I26" i="2" s="1"/>
  <c r="E25" i="2"/>
  <c r="I25" i="2" s="1"/>
  <c r="E24" i="2"/>
  <c r="I24" i="2" s="1"/>
  <c r="E23" i="2"/>
  <c r="I23" i="2" s="1"/>
  <c r="E22" i="2"/>
  <c r="I22" i="2" s="1"/>
  <c r="E21" i="2"/>
  <c r="I21" i="2" s="1"/>
  <c r="E20" i="2"/>
  <c r="I20" i="2" s="1"/>
  <c r="E19" i="2"/>
  <c r="I19" i="2" s="1"/>
  <c r="E18" i="2"/>
  <c r="I18" i="2" s="1"/>
  <c r="E17" i="2"/>
  <c r="E16" i="2"/>
  <c r="I16" i="2" s="1"/>
  <c r="E15" i="2"/>
  <c r="I15" i="2" s="1"/>
  <c r="E14" i="2"/>
  <c r="I14" i="2" s="1"/>
  <c r="E13" i="2"/>
  <c r="I13" i="2" s="1"/>
  <c r="E12" i="2"/>
  <c r="I12" i="2" s="1"/>
  <c r="E11" i="2"/>
  <c r="I11" i="2" s="1"/>
  <c r="E10" i="2"/>
  <c r="I10" i="2" s="1"/>
  <c r="E9" i="2"/>
  <c r="I9" i="2" s="1"/>
  <c r="E8" i="2"/>
  <c r="I8" i="2" s="1"/>
  <c r="E7" i="2"/>
  <c r="I7" i="2" s="1"/>
  <c r="E6" i="2"/>
  <c r="I6" i="2" s="1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8" i="2"/>
  <c r="H27" i="2"/>
  <c r="H26" i="2"/>
  <c r="H25" i="2"/>
  <c r="H24" i="2"/>
  <c r="H23" i="2"/>
  <c r="H21" i="2"/>
  <c r="H20" i="2"/>
  <c r="H19" i="2"/>
  <c r="H18" i="2"/>
  <c r="H17" i="2"/>
  <c r="H12" i="2"/>
  <c r="H11" i="2"/>
  <c r="H10" i="2"/>
  <c r="E64" i="10" l="1"/>
  <c r="E60" i="10" s="1"/>
  <c r="E64" i="9"/>
  <c r="E60" i="9" s="1"/>
  <c r="L8" i="6"/>
  <c r="M8" i="6" s="1"/>
  <c r="L15" i="6"/>
  <c r="M15" i="6" s="1"/>
  <c r="L7" i="6"/>
  <c r="M7" i="6" s="1"/>
  <c r="L14" i="6"/>
  <c r="M14" i="6" s="1"/>
  <c r="L6" i="6"/>
  <c r="L13" i="6"/>
  <c r="M13" i="6" s="1"/>
  <c r="L9" i="6"/>
  <c r="M9" i="6" s="1"/>
  <c r="L12" i="6"/>
  <c r="M12" i="6" s="1"/>
  <c r="L11" i="6"/>
  <c r="M11" i="6" s="1"/>
  <c r="L10" i="6"/>
  <c r="M10" i="6" s="1"/>
  <c r="M6" i="8"/>
  <c r="M46" i="8" s="1"/>
  <c r="L48" i="8"/>
  <c r="E63" i="6"/>
  <c r="B64" i="6"/>
  <c r="E61" i="6"/>
  <c r="C52" i="7"/>
  <c r="E61" i="7" s="1"/>
  <c r="H4" i="3"/>
  <c r="D59" i="3" s="1"/>
  <c r="G4" i="3"/>
  <c r="D58" i="3" s="1"/>
  <c r="G4" i="4"/>
  <c r="D57" i="4" s="1"/>
  <c r="H4" i="4"/>
  <c r="D58" i="4" s="1"/>
  <c r="G4" i="5"/>
  <c r="C54" i="5" s="1"/>
  <c r="C52" i="5" s="1"/>
  <c r="I7" i="1"/>
  <c r="I4" i="5"/>
  <c r="D59" i="5" s="1"/>
  <c r="I8" i="1"/>
  <c r="F45" i="6"/>
  <c r="F37" i="6"/>
  <c r="F29" i="6"/>
  <c r="F21" i="6"/>
  <c r="F13" i="6"/>
  <c r="F35" i="6"/>
  <c r="F19" i="6"/>
  <c r="F34" i="6"/>
  <c r="F18" i="6"/>
  <c r="F39" i="6"/>
  <c r="F7" i="6"/>
  <c r="F30" i="6"/>
  <c r="F14" i="6"/>
  <c r="F44" i="6"/>
  <c r="F36" i="6"/>
  <c r="F28" i="6"/>
  <c r="F20" i="6"/>
  <c r="F12" i="6"/>
  <c r="F43" i="6"/>
  <c r="F27" i="6"/>
  <c r="F11" i="6"/>
  <c r="F42" i="6"/>
  <c r="F26" i="6"/>
  <c r="F10" i="6"/>
  <c r="F15" i="6"/>
  <c r="F38" i="6"/>
  <c r="F6" i="6"/>
  <c r="F23" i="6"/>
  <c r="F41" i="6"/>
  <c r="F33" i="6"/>
  <c r="F25" i="6"/>
  <c r="F17" i="6"/>
  <c r="F9" i="6"/>
  <c r="F40" i="6"/>
  <c r="F32" i="6"/>
  <c r="F24" i="6"/>
  <c r="F16" i="6"/>
  <c r="F8" i="6"/>
  <c r="F31" i="6"/>
  <c r="F22" i="6"/>
  <c r="G22" i="2"/>
  <c r="G29" i="2"/>
  <c r="G16" i="2"/>
  <c r="G15" i="2"/>
  <c r="G14" i="2"/>
  <c r="G9" i="2"/>
  <c r="G13" i="2"/>
  <c r="G38" i="2"/>
  <c r="G21" i="2"/>
  <c r="G30" i="2"/>
  <c r="G6" i="2"/>
  <c r="H29" i="2"/>
  <c r="G11" i="2"/>
  <c r="G10" i="2"/>
  <c r="G37" i="2"/>
  <c r="H22" i="2"/>
  <c r="D4" i="2"/>
  <c r="G45" i="2"/>
  <c r="G18" i="2"/>
  <c r="H6" i="2"/>
  <c r="H13" i="2"/>
  <c r="G12" i="2"/>
  <c r="G23" i="2"/>
  <c r="G31" i="2"/>
  <c r="G39" i="2"/>
  <c r="H15" i="2"/>
  <c r="G24" i="2"/>
  <c r="G32" i="2"/>
  <c r="G40" i="2"/>
  <c r="H8" i="2"/>
  <c r="H16" i="2"/>
  <c r="G25" i="2"/>
  <c r="G33" i="2"/>
  <c r="G41" i="2"/>
  <c r="H9" i="2"/>
  <c r="G26" i="2"/>
  <c r="G34" i="2"/>
  <c r="G42" i="2"/>
  <c r="G17" i="2"/>
  <c r="G27" i="2"/>
  <c r="G35" i="2"/>
  <c r="G43" i="2"/>
  <c r="G28" i="2"/>
  <c r="G36" i="2"/>
  <c r="G44" i="2"/>
  <c r="G20" i="2"/>
  <c r="G19" i="2"/>
  <c r="I17" i="2"/>
  <c r="I4" i="2" s="1"/>
  <c r="G8" i="2"/>
  <c r="G7" i="2"/>
  <c r="E4" i="2"/>
  <c r="E62" i="9" l="1"/>
  <c r="E62" i="10"/>
  <c r="E64" i="8"/>
  <c r="L15" i="7"/>
  <c r="M15" i="7" s="1"/>
  <c r="L7" i="7"/>
  <c r="M7" i="7" s="1"/>
  <c r="L10" i="7"/>
  <c r="M10" i="7" s="1"/>
  <c r="L14" i="7"/>
  <c r="M14" i="7" s="1"/>
  <c r="L6" i="7"/>
  <c r="L13" i="7"/>
  <c r="M13" i="7" s="1"/>
  <c r="L12" i="7"/>
  <c r="M12" i="7" s="1"/>
  <c r="L11" i="7"/>
  <c r="M11" i="7" s="1"/>
  <c r="L8" i="7"/>
  <c r="M8" i="7" s="1"/>
  <c r="L9" i="7"/>
  <c r="M9" i="7" s="1"/>
  <c r="L48" i="6"/>
  <c r="M6" i="6"/>
  <c r="M46" i="6" s="1"/>
  <c r="E61" i="5"/>
  <c r="L8" i="5"/>
  <c r="M8" i="5" s="1"/>
  <c r="L15" i="5"/>
  <c r="M15" i="5" s="1"/>
  <c r="L7" i="5"/>
  <c r="M7" i="5" s="1"/>
  <c r="L14" i="5"/>
  <c r="M14" i="5" s="1"/>
  <c r="L6" i="5"/>
  <c r="L13" i="5"/>
  <c r="M13" i="5" s="1"/>
  <c r="L12" i="5"/>
  <c r="M12" i="5" s="1"/>
  <c r="L9" i="5"/>
  <c r="M9" i="5" s="1"/>
  <c r="L11" i="5"/>
  <c r="M11" i="5" s="1"/>
  <c r="L10" i="5"/>
  <c r="M10" i="5" s="1"/>
  <c r="C54" i="3"/>
  <c r="C52" i="3" s="1"/>
  <c r="E63" i="7"/>
  <c r="C53" i="4"/>
  <c r="C51" i="4" s="1"/>
  <c r="D58" i="5"/>
  <c r="E63" i="5" s="1"/>
  <c r="F32" i="7"/>
  <c r="F35" i="7"/>
  <c r="F43" i="7"/>
  <c r="F12" i="7"/>
  <c r="F17" i="7"/>
  <c r="F9" i="7"/>
  <c r="F36" i="7"/>
  <c r="F10" i="7"/>
  <c r="F8" i="7"/>
  <c r="F24" i="7"/>
  <c r="F31" i="7"/>
  <c r="F30" i="7"/>
  <c r="F33" i="7"/>
  <c r="F38" i="7"/>
  <c r="F41" i="7"/>
  <c r="F27" i="7"/>
  <c r="F45" i="7"/>
  <c r="F22" i="7"/>
  <c r="F19" i="7"/>
  <c r="F16" i="7"/>
  <c r="F7" i="7"/>
  <c r="F13" i="7"/>
  <c r="F28" i="7"/>
  <c r="F39" i="7"/>
  <c r="F15" i="7"/>
  <c r="F23" i="7"/>
  <c r="F37" i="7"/>
  <c r="F14" i="7"/>
  <c r="F20" i="7"/>
  <c r="F42" i="7"/>
  <c r="F25" i="7"/>
  <c r="F29" i="7"/>
  <c r="F40" i="7"/>
  <c r="F26" i="7"/>
  <c r="F6" i="7"/>
  <c r="F44" i="7"/>
  <c r="F21" i="7"/>
  <c r="F18" i="7"/>
  <c r="F34" i="7"/>
  <c r="F11" i="7"/>
  <c r="H4" i="2"/>
  <c r="D59" i="2" s="1"/>
  <c r="G4" i="2"/>
  <c r="E63" i="3" l="1"/>
  <c r="L11" i="4"/>
  <c r="M11" i="4" s="1"/>
  <c r="L12" i="4"/>
  <c r="L10" i="4"/>
  <c r="M10" i="4" s="1"/>
  <c r="L9" i="4"/>
  <c r="L8" i="4"/>
  <c r="M8" i="4" s="1"/>
  <c r="L15" i="4"/>
  <c r="M15" i="4" s="1"/>
  <c r="L7" i="4"/>
  <c r="L13" i="4"/>
  <c r="M13" i="4" s="1"/>
  <c r="L14" i="4"/>
  <c r="M14" i="4" s="1"/>
  <c r="L6" i="4"/>
  <c r="M6" i="4" s="1"/>
  <c r="E64" i="6"/>
  <c r="E60" i="8"/>
  <c r="E62" i="8"/>
  <c r="L48" i="7"/>
  <c r="M6" i="7"/>
  <c r="M46" i="7" s="1"/>
  <c r="L48" i="5"/>
  <c r="M6" i="5"/>
  <c r="M46" i="5" s="1"/>
  <c r="L14" i="3"/>
  <c r="M14" i="3" s="1"/>
  <c r="L15" i="3"/>
  <c r="M15" i="3" s="1"/>
  <c r="L12" i="3"/>
  <c r="M12" i="3" s="1"/>
  <c r="L13" i="3"/>
  <c r="M13" i="3" s="1"/>
  <c r="M12" i="4"/>
  <c r="B63" i="4"/>
  <c r="L10" i="3"/>
  <c r="M10" i="3" s="1"/>
  <c r="L11" i="3"/>
  <c r="M11" i="3" s="1"/>
  <c r="E61" i="3"/>
  <c r="E62" i="4"/>
  <c r="E60" i="4"/>
  <c r="M9" i="4"/>
  <c r="L9" i="3"/>
  <c r="M9" i="3" s="1"/>
  <c r="L8" i="3"/>
  <c r="M8" i="3" s="1"/>
  <c r="L7" i="3"/>
  <c r="M7" i="3" s="1"/>
  <c r="L6" i="3"/>
  <c r="I6" i="1"/>
  <c r="I5" i="1"/>
  <c r="I4" i="1"/>
  <c r="F41" i="4"/>
  <c r="F25" i="4"/>
  <c r="F30" i="4"/>
  <c r="F44" i="4"/>
  <c r="F32" i="4"/>
  <c r="F14" i="4"/>
  <c r="F35" i="4"/>
  <c r="F20" i="4"/>
  <c r="F17" i="4"/>
  <c r="F6" i="4"/>
  <c r="F31" i="4"/>
  <c r="F43" i="4"/>
  <c r="F29" i="4"/>
  <c r="F13" i="4"/>
  <c r="F19" i="4"/>
  <c r="F7" i="4"/>
  <c r="F24" i="4"/>
  <c r="F10" i="4"/>
  <c r="F37" i="4"/>
  <c r="F39" i="4"/>
  <c r="F26" i="4"/>
  <c r="F8" i="4"/>
  <c r="F40" i="4"/>
  <c r="F15" i="4"/>
  <c r="F45" i="4"/>
  <c r="F22" i="4"/>
  <c r="F34" i="4"/>
  <c r="F23" i="4"/>
  <c r="F9" i="4"/>
  <c r="F18" i="4"/>
  <c r="F28" i="4"/>
  <c r="F12" i="4"/>
  <c r="F42" i="4"/>
  <c r="F33" i="4"/>
  <c r="F36" i="4"/>
  <c r="F21" i="4"/>
  <c r="F16" i="4"/>
  <c r="F27" i="4"/>
  <c r="F11" i="4"/>
  <c r="F38" i="4"/>
  <c r="F31" i="5"/>
  <c r="F18" i="5"/>
  <c r="F35" i="3"/>
  <c r="F23" i="3"/>
  <c r="F44" i="3"/>
  <c r="F36" i="3"/>
  <c r="F28" i="3"/>
  <c r="F20" i="3"/>
  <c r="F12" i="3"/>
  <c r="F19" i="3"/>
  <c r="F42" i="3"/>
  <c r="F26" i="3"/>
  <c r="F10" i="3"/>
  <c r="F41" i="3"/>
  <c r="F33" i="3"/>
  <c r="F25" i="3"/>
  <c r="F40" i="3"/>
  <c r="F32" i="3"/>
  <c r="F24" i="3"/>
  <c r="F16" i="3"/>
  <c r="F39" i="3"/>
  <c r="F31" i="3"/>
  <c r="F15" i="3"/>
  <c r="F38" i="3"/>
  <c r="F30" i="3"/>
  <c r="F22" i="3"/>
  <c r="F14" i="3"/>
  <c r="F45" i="3"/>
  <c r="F37" i="3"/>
  <c r="F29" i="3"/>
  <c r="F21" i="3"/>
  <c r="F13" i="3"/>
  <c r="F43" i="3"/>
  <c r="F27" i="3"/>
  <c r="F11" i="3"/>
  <c r="F34" i="3"/>
  <c r="F18" i="3"/>
  <c r="F17" i="3"/>
  <c r="F9" i="3"/>
  <c r="F8" i="3"/>
  <c r="F7" i="3"/>
  <c r="F6" i="3"/>
  <c r="F43" i="5"/>
  <c r="F22" i="5"/>
  <c r="F15" i="5"/>
  <c r="F35" i="5"/>
  <c r="F41" i="5"/>
  <c r="F7" i="5"/>
  <c r="F13" i="5"/>
  <c r="F26" i="5"/>
  <c r="F23" i="5"/>
  <c r="F16" i="5"/>
  <c r="F6" i="5"/>
  <c r="F42" i="5"/>
  <c r="F38" i="5"/>
  <c r="F14" i="5"/>
  <c r="F33" i="5"/>
  <c r="F8" i="5"/>
  <c r="F21" i="5"/>
  <c r="F19" i="5"/>
  <c r="F24" i="5"/>
  <c r="F9" i="5"/>
  <c r="F28" i="5"/>
  <c r="F39" i="5"/>
  <c r="F32" i="5"/>
  <c r="F10" i="5"/>
  <c r="F37" i="5"/>
  <c r="F36" i="5"/>
  <c r="F34" i="5"/>
  <c r="F40" i="5"/>
  <c r="F29" i="5"/>
  <c r="F12" i="5"/>
  <c r="F45" i="5"/>
  <c r="F44" i="5"/>
  <c r="F27" i="5"/>
  <c r="F17" i="5"/>
  <c r="F11" i="5"/>
  <c r="F30" i="5"/>
  <c r="F20" i="5"/>
  <c r="F25" i="5"/>
  <c r="C54" i="2"/>
  <c r="C52" i="2" s="1"/>
  <c r="D58" i="2"/>
  <c r="I3" i="1" s="1"/>
  <c r="E64" i="7" l="1"/>
  <c r="E62" i="7" s="1"/>
  <c r="E60" i="6"/>
  <c r="E62" i="6"/>
  <c r="E64" i="5"/>
  <c r="E60" i="5" s="1"/>
  <c r="L14" i="2"/>
  <c r="M14" i="2" s="1"/>
  <c r="L15" i="2"/>
  <c r="M15" i="2" s="1"/>
  <c r="L12" i="2"/>
  <c r="M12" i="2" s="1"/>
  <c r="L13" i="2"/>
  <c r="M13" i="2" s="1"/>
  <c r="L10" i="2"/>
  <c r="M10" i="2" s="1"/>
  <c r="L11" i="2"/>
  <c r="M11" i="2" s="1"/>
  <c r="M7" i="4"/>
  <c r="M46" i="4" s="1"/>
  <c r="L48" i="4"/>
  <c r="L6" i="2"/>
  <c r="L7" i="2"/>
  <c r="M7" i="2" s="1"/>
  <c r="L9" i="2"/>
  <c r="M9" i="2" s="1"/>
  <c r="L8" i="2"/>
  <c r="M8" i="2" s="1"/>
  <c r="L48" i="3"/>
  <c r="M6" i="3"/>
  <c r="M46" i="3" s="1"/>
  <c r="E63" i="2"/>
  <c r="E61" i="2"/>
  <c r="F20" i="2"/>
  <c r="F38" i="2"/>
  <c r="F37" i="2"/>
  <c r="F43" i="2"/>
  <c r="F18" i="2"/>
  <c r="F41" i="2"/>
  <c r="F33" i="2"/>
  <c r="F25" i="2"/>
  <c r="F17" i="2"/>
  <c r="F40" i="2"/>
  <c r="F32" i="2"/>
  <c r="F24" i="2"/>
  <c r="F16" i="2"/>
  <c r="F39" i="2"/>
  <c r="F31" i="2"/>
  <c r="F23" i="2"/>
  <c r="F15" i="2"/>
  <c r="F30" i="2"/>
  <c r="F22" i="2"/>
  <c r="F14" i="2"/>
  <c r="F45" i="2"/>
  <c r="F29" i="2"/>
  <c r="F21" i="2"/>
  <c r="F13" i="2"/>
  <c r="F44" i="2"/>
  <c r="F36" i="2"/>
  <c r="F28" i="2"/>
  <c r="F35" i="2"/>
  <c r="F27" i="2"/>
  <c r="F19" i="2"/>
  <c r="F42" i="2"/>
  <c r="F26" i="2"/>
  <c r="F12" i="2"/>
  <c r="F11" i="2"/>
  <c r="F34" i="2"/>
  <c r="F10" i="2"/>
  <c r="F6" i="2"/>
  <c r="F9" i="2"/>
  <c r="F7" i="2"/>
  <c r="F8" i="2"/>
  <c r="E64" i="3" l="1"/>
  <c r="E60" i="3" s="1"/>
  <c r="E60" i="7"/>
  <c r="E63" i="4"/>
  <c r="E62" i="5"/>
  <c r="L48" i="2"/>
  <c r="M6" i="2"/>
  <c r="M46" i="2" s="1"/>
  <c r="E64" i="2" s="1"/>
  <c r="E62" i="2" s="1"/>
  <c r="E62" i="3" l="1"/>
  <c r="E60" i="2"/>
  <c r="E61" i="4"/>
  <c r="E59" i="4"/>
</calcChain>
</file>

<file path=xl/sharedStrings.xml><?xml version="1.0" encoding="utf-8"?>
<sst xmlns="http://schemas.openxmlformats.org/spreadsheetml/2006/main" count="534" uniqueCount="146">
  <si>
    <t>n</t>
  </si>
  <si>
    <t>∑X</t>
  </si>
  <si>
    <t>∑Y</t>
  </si>
  <si>
    <t>∑(X*Y)</t>
  </si>
  <si>
    <t>∑(X^2)</t>
  </si>
  <si>
    <t>X</t>
  </si>
  <si>
    <t>Y</t>
  </si>
  <si>
    <t>X^2</t>
  </si>
  <si>
    <t>x</t>
  </si>
  <si>
    <t>y</t>
  </si>
  <si>
    <t>X*Y</t>
  </si>
  <si>
    <t>Konstantentherm A =</t>
  </si>
  <si>
    <t>Regressionskoeffizient B =</t>
  </si>
  <si>
    <t>Korrelationskoeffizient IrI =</t>
  </si>
  <si>
    <t>INDIVIDUELLE ABFRAGE:</t>
  </si>
  <si>
    <t xml:space="preserve">wenn x = </t>
  </si>
  <si>
    <t xml:space="preserve"> = gegeben,</t>
  </si>
  <si>
    <t xml:space="preserve">wenn y = </t>
  </si>
  <si>
    <t>y^2</t>
  </si>
  <si>
    <t>r_Zähler</t>
  </si>
  <si>
    <t>r_Nenner</t>
  </si>
  <si>
    <t>Grafik - Gerade</t>
  </si>
  <si>
    <t>aus Berechnung</t>
  </si>
  <si>
    <t>y_resultierend</t>
  </si>
  <si>
    <t>Funktion</t>
  </si>
  <si>
    <t>Y = A + B*x</t>
  </si>
  <si>
    <t>Y = A + B*lnIxI</t>
  </si>
  <si>
    <t>Y = A*e^(B*x)</t>
  </si>
  <si>
    <t>Y = e^[A*e^(B*x)]</t>
  </si>
  <si>
    <t>Y = A + B*[ln(lnIxI)]</t>
  </si>
  <si>
    <t>Y = A*(lnIxI)^B</t>
  </si>
  <si>
    <t>Y = e^(A*x^B)</t>
  </si>
  <si>
    <t>Y = e^[A*(lnIxI)^B]</t>
  </si>
  <si>
    <t xml:space="preserve">Fall Nr. </t>
  </si>
  <si>
    <t>∑ Zahlenpaare:</t>
  </si>
  <si>
    <t>Reservespalte leer</t>
  </si>
  <si>
    <t>∑(y^2)</t>
  </si>
  <si>
    <t>Eingabepare:  4 ≤ n ≤ 40</t>
  </si>
  <si>
    <t>Reservespalte</t>
  </si>
  <si>
    <t>Der Nullpunkt im Achsenschnittpunkt ist kein Messwert!</t>
  </si>
  <si>
    <t>Ablesung x - Achse:</t>
  </si>
  <si>
    <t>Ablesung y - Achse:</t>
  </si>
  <si>
    <t>yreal = e^(Ablesewert y)</t>
  </si>
  <si>
    <t>xreal = e^[e^(Ablesewert x)]</t>
  </si>
  <si>
    <t>LEGENDE:</t>
  </si>
  <si>
    <t>xreal = e^(Ablesewert x)</t>
  </si>
  <si>
    <t>yreal = e^[e^(Ablesewert y)]</t>
  </si>
  <si>
    <t xml:space="preserve">                            yreal = e^[e^(Ablesewert y)]</t>
  </si>
  <si>
    <t xml:space="preserve"> LEGENDE:</t>
  </si>
  <si>
    <t>EINGABEPFLICHT:</t>
  </si>
  <si>
    <t xml:space="preserve">Die eingegebenen x - Werte in Spalte [C] sind entweder durch eintippen von Hand  </t>
  </si>
  <si>
    <t>Programm - Neustart wiederkehrend. Dies  gilt auch für  die Vorgaben im Graubereich.</t>
  </si>
  <si>
    <t>Y = A*x^B</t>
  </si>
  <si>
    <t xml:space="preserve">                   yreal = e^(Ablesewert y)</t>
  </si>
  <si>
    <t xml:space="preserve">FALL 1: REGRESSIONSANALYSE NACH DER FUNKTION: Y = A + B*x </t>
  </si>
  <si>
    <t>FALL 2: REGRESSIONSANALYSE NACH DER FUNKTION: Y = A + B*lnIxI</t>
  </si>
  <si>
    <t>FALL 7: REGRESSIONSANALYSE NACH DER FUNKTION: Y = A*e^(B*x)</t>
  </si>
  <si>
    <t>FALL 8 : REGRESSIONSANALYSE NACH DER FUNKTION: Y = e^[A*e^(B*x)]</t>
  </si>
  <si>
    <t>FALL 9 : REGRESSIONSANALYSE NACH DER FUNKTION: Y =  A*x^B</t>
  </si>
  <si>
    <t>FALL 10 : REGRESSIONSANALYSE NACH DER FUNKTION: Y =  A*(lnIxI)^B</t>
  </si>
  <si>
    <t>FALL 11 : REGRESSIONSANALYSE NACH DER FUNKTION: Y =  e^(A*x^B)</t>
  </si>
  <si>
    <t>FALL 12 : REGRESSIONSANALYSE NACH DER FUNKTION: Y =  e^[A*(lnIxI)^B]</t>
  </si>
  <si>
    <t xml:space="preserve">Die Berechnungen erfolgen automatisch  auf den  Registerblättern  (FALL ….). </t>
  </si>
  <si>
    <t>Begrenzung X:</t>
  </si>
  <si>
    <t>keine</t>
  </si>
  <si>
    <t>Begernzung Y:</t>
  </si>
  <si>
    <t>Begrenzung Y:</t>
  </si>
  <si>
    <t xml:space="preserve">FALL 5: REGRESSIONSANALYSE NACH DER FUNKTION: Y = A + B*[lnIlnIxII] </t>
  </si>
  <si>
    <t xml:space="preserve">Begrenzung Y: </t>
  </si>
  <si>
    <t>y &gt; 0</t>
  </si>
  <si>
    <t>dann xres. =</t>
  </si>
  <si>
    <t>(Hilfswert)</t>
  </si>
  <si>
    <t>dann yres. =</t>
  </si>
  <si>
    <t>Zusätzlich zur Resultatgrafik können gleichenorts Einzelwerte für  x oder y zur fraglichen</t>
  </si>
  <si>
    <t xml:space="preserve">Grafik abgefragt werden. Der Korrelationskoeffizient (Absolutwert IrI) für die </t>
  </si>
  <si>
    <t>gegebenen Messwerte wir zudem  auf die hier vorliegende Seite "EINGABEN"</t>
  </si>
  <si>
    <t>***Ergänzender Hinweis zur Berechnung siehe unten!</t>
  </si>
  <si>
    <t>alle Funktionen</t>
  </si>
  <si>
    <t>❶❼❽</t>
  </si>
  <si>
    <t>Die Eingabe der Zahlenpaare (gelber Bereich) muss ohne Unterbrechung ab Zeile 6 erfolgen.</t>
  </si>
  <si>
    <t>nicht sortiert werden. ES SIND IMMER MIN. VIER ZAHLENPAARE EINZUGEBEN!</t>
  </si>
  <si>
    <r>
      <t xml:space="preserve"> </t>
    </r>
    <r>
      <rPr>
        <b/>
        <sz val="11"/>
        <color rgb="FF0070C0"/>
        <rFont val="Calibri"/>
        <family val="2"/>
        <scheme val="minor"/>
      </rPr>
      <t>***Ergänzender Hinweis zur Berechnung:</t>
    </r>
  </si>
  <si>
    <t>wenn x &gt; 1</t>
  </si>
  <si>
    <t xml:space="preserve">Je nach Grösse und Vorzeichen der x - und y - Werte (ein einzelnes  Zahlenpaar kann  </t>
  </si>
  <si>
    <r>
      <t xml:space="preserve">REGRESSIONSANALYSEN MIT FUNKTIONEN </t>
    </r>
    <r>
      <rPr>
        <b/>
        <sz val="14"/>
        <rFont val="Calibri"/>
        <family val="2"/>
        <scheme val="minor"/>
      </rPr>
      <t>OHNE</t>
    </r>
    <r>
      <rPr>
        <b/>
        <sz val="14"/>
        <color rgb="FFFF0000"/>
        <rFont val="Calibri"/>
        <family val="2"/>
        <scheme val="minor"/>
      </rPr>
      <t xml:space="preserve"> WENDEPUNKT</t>
    </r>
  </si>
  <si>
    <t>[A] und [B] kopieren!</t>
  </si>
  <si>
    <t>[E] und [F] kopieren!</t>
  </si>
  <si>
    <t>x-Werte von Spalte [C] nach</t>
  </si>
  <si>
    <t>y-Werte Spalte [D] nach</t>
  </si>
  <si>
    <r>
      <t xml:space="preserve">Zahlenpaare: 4 </t>
    </r>
    <r>
      <rPr>
        <b/>
        <sz val="11"/>
        <color theme="1"/>
        <rFont val="Calibri"/>
        <family val="2"/>
      </rPr>
      <t>≤n≤ 40</t>
    </r>
  </si>
  <si>
    <t xml:space="preserve">            Korrelationskoeffizient IrI</t>
  </si>
  <si>
    <t>wenn x = 1</t>
  </si>
  <si>
    <t>oder durch &lt;copy&gt; und &lt;einfügen&gt; in die grauen Spalten [A] und [B] zu übertragen.</t>
  </si>
  <si>
    <t>Analoger Übertrag der y - Werte aus Spalte [D] in die grauen Spalten [E] und [F]!</t>
  </si>
  <si>
    <t>bestimmend sein!) liefern folgende Funktionen ("Fälle") reale Ergebnisse:</t>
  </si>
  <si>
    <t xml:space="preserve">Je nach Anzahl Wertepaare und je nach Abweichungen zwischen den gemessenen und den </t>
  </si>
  <si>
    <t>funktionalen Y - Werten (Fehlerrechnung) wird bei der individuellen Abfrage zum Y - Wert</t>
  </si>
  <si>
    <t>STATISTIK_Abfrage_des_Konfidenzintervalls_fuer_den_Mittelwert</t>
  </si>
  <si>
    <t>übertragen und den aufgelisteten Funktionen zugeordnet siehe oben).</t>
  </si>
  <si>
    <r>
      <rPr>
        <b/>
        <sz val="11"/>
        <color rgb="FF0070C0"/>
        <rFont val="Calibri"/>
        <family val="2"/>
        <scheme val="minor"/>
      </rPr>
      <t>niveau VN ~ 100%</t>
    </r>
    <r>
      <rPr>
        <b/>
        <sz val="11"/>
        <color rgb="FFFF0000"/>
        <rFont val="Calibri"/>
        <family val="2"/>
        <scheme val="minor"/>
      </rPr>
      <t xml:space="preserve"> mitgeteilt. Voraussetzung: Mindestens 10 Wertepaare!</t>
    </r>
  </si>
  <si>
    <r>
      <t xml:space="preserve">dessen mögliche </t>
    </r>
    <r>
      <rPr>
        <b/>
        <sz val="11"/>
        <color rgb="FFFF0000"/>
        <rFont val="Calibri"/>
        <family val="2"/>
      </rPr>
      <t>± Abweichung (oberer und unterer Schätzwert), basierend auf</t>
    </r>
    <r>
      <rPr>
        <b/>
        <sz val="11"/>
        <color rgb="FF0070C0"/>
        <rFont val="Calibri"/>
        <family val="2"/>
      </rPr>
      <t xml:space="preserve"> Vertrauens -</t>
    </r>
    <r>
      <rPr>
        <b/>
        <sz val="11"/>
        <color rgb="FFFF0000"/>
        <rFont val="Calibri"/>
        <family val="2"/>
      </rPr>
      <t xml:space="preserve"> </t>
    </r>
  </si>
  <si>
    <t>Siehe dazu speziell:</t>
  </si>
  <si>
    <r>
      <t xml:space="preserve">xreal </t>
    </r>
    <r>
      <rPr>
        <sz val="11"/>
        <color rgb="FFFF0000"/>
        <rFont val="Calibri"/>
        <family val="2"/>
      </rPr>
      <t xml:space="preserve">≡ </t>
    </r>
    <r>
      <rPr>
        <sz val="11"/>
        <color rgb="FFFF0000"/>
        <rFont val="Calibri"/>
        <family val="2"/>
        <scheme val="minor"/>
      </rPr>
      <t>Ablesewert x</t>
    </r>
  </si>
  <si>
    <r>
      <t xml:space="preserve">yreal </t>
    </r>
    <r>
      <rPr>
        <sz val="11"/>
        <color rgb="FFFF0000"/>
        <rFont val="Calibri"/>
        <family val="2"/>
      </rPr>
      <t xml:space="preserve">≡ </t>
    </r>
    <r>
      <rPr>
        <sz val="11"/>
        <color rgb="FFFF0000"/>
        <rFont val="Calibri"/>
        <family val="2"/>
        <scheme val="minor"/>
      </rPr>
      <t>Ablesewert y</t>
    </r>
  </si>
  <si>
    <r>
      <rPr>
        <b/>
        <sz val="11"/>
        <color rgb="FFFF0000"/>
        <rFont val="Calibri"/>
        <family val="2"/>
        <scheme val="minor"/>
      </rPr>
      <t>dann</t>
    </r>
    <r>
      <rPr>
        <sz val="11"/>
        <color rgb="FFFF0000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yres. =</t>
    </r>
  </si>
  <si>
    <r>
      <t xml:space="preserve">yreal </t>
    </r>
    <r>
      <rPr>
        <sz val="11"/>
        <color rgb="FFFF0000"/>
        <rFont val="Calibri"/>
        <family val="2"/>
      </rPr>
      <t>≡</t>
    </r>
    <r>
      <rPr>
        <sz val="15.75"/>
        <color rgb="FFFF0000"/>
        <rFont val="Calibri"/>
        <family val="2"/>
      </rPr>
      <t xml:space="preserve"> </t>
    </r>
    <r>
      <rPr>
        <sz val="11"/>
        <color rgb="FFFF0000"/>
        <rFont val="Calibri"/>
        <family val="2"/>
        <scheme val="minor"/>
      </rPr>
      <t>Ablesewert y</t>
    </r>
  </si>
  <si>
    <r>
      <t xml:space="preserve">xreal  </t>
    </r>
    <r>
      <rPr>
        <sz val="11"/>
        <color rgb="FFFF0000"/>
        <rFont val="Calibri"/>
        <family val="2"/>
      </rPr>
      <t xml:space="preserve">≡ </t>
    </r>
    <r>
      <rPr>
        <sz val="11"/>
        <color rgb="FFFF0000"/>
        <rFont val="Calibri"/>
        <family val="2"/>
        <scheme val="minor"/>
      </rPr>
      <t>Ablesewert x</t>
    </r>
  </si>
  <si>
    <r>
      <t xml:space="preserve">y </t>
    </r>
    <r>
      <rPr>
        <sz val="11"/>
        <color rgb="FFFF0000"/>
        <rFont val="Calibri"/>
        <family val="2"/>
      </rPr>
      <t>≥</t>
    </r>
    <r>
      <rPr>
        <sz val="11"/>
        <color rgb="FFFF0000"/>
        <rFont val="Calibri"/>
        <family val="2"/>
        <scheme val="minor"/>
      </rPr>
      <t xml:space="preserve"> 1</t>
    </r>
  </si>
  <si>
    <r>
      <t xml:space="preserve">x </t>
    </r>
    <r>
      <rPr>
        <sz val="11"/>
        <color rgb="FFFF0000"/>
        <rFont val="Calibri"/>
        <family val="2"/>
      </rPr>
      <t>≥</t>
    </r>
    <r>
      <rPr>
        <sz val="11"/>
        <color rgb="FFFF0000"/>
        <rFont val="Calibri"/>
        <family val="2"/>
        <scheme val="minor"/>
      </rPr>
      <t xml:space="preserve"> 1</t>
    </r>
  </si>
  <si>
    <r>
      <t xml:space="preserve">dann </t>
    </r>
    <r>
      <rPr>
        <b/>
        <sz val="11"/>
        <color rgb="FFFF0000"/>
        <rFont val="Calibri"/>
        <family val="2"/>
        <scheme val="minor"/>
      </rPr>
      <t>yres. =</t>
    </r>
  </si>
  <si>
    <t>obere Fehlergrenze</t>
  </si>
  <si>
    <t>untere Fehlergrenze</t>
  </si>
  <si>
    <t>Gemessene Y - Werte</t>
  </si>
  <si>
    <t>Funktionale Y-Werte</t>
  </si>
  <si>
    <t>Gegebene X - Werte</t>
  </si>
  <si>
    <t>(K - L)^2</t>
  </si>
  <si>
    <t>Standardabweichung aller Y</t>
  </si>
  <si>
    <t>Mittelwert aller Y - Funktionswerte</t>
  </si>
  <si>
    <r>
      <rPr>
        <sz val="11"/>
        <color rgb="FF0070C0"/>
        <rFont val="Calibri"/>
        <family val="2"/>
        <scheme val="minor"/>
      </rPr>
      <t xml:space="preserve">Fehler% auf Y-Rechnung </t>
    </r>
    <r>
      <rPr>
        <sz val="11"/>
        <color rgb="FF0070C0"/>
        <rFont val="Calibri"/>
        <family val="2"/>
      </rPr>
      <t>±</t>
    </r>
  </si>
  <si>
    <t>Fehler% auf Y-Rechnung ±</t>
  </si>
  <si>
    <r>
      <t xml:space="preserve">und y </t>
    </r>
    <r>
      <rPr>
        <b/>
        <sz val="11"/>
        <color rgb="FF0070C0"/>
        <rFont val="Calibri"/>
        <family val="2"/>
      </rPr>
      <t>≥ 1</t>
    </r>
  </si>
  <si>
    <r>
      <t>und 0 &lt;</t>
    </r>
    <r>
      <rPr>
        <b/>
        <sz val="11"/>
        <color rgb="FF0070C0"/>
        <rFont val="Calibri"/>
        <family val="2"/>
      </rPr>
      <t xml:space="preserve"> y &lt; 1</t>
    </r>
  </si>
  <si>
    <r>
      <t xml:space="preserve">und y </t>
    </r>
    <r>
      <rPr>
        <b/>
        <sz val="11"/>
        <color rgb="FF0070C0"/>
        <rFont val="Calibri"/>
        <family val="2"/>
      </rPr>
      <t>≤</t>
    </r>
    <r>
      <rPr>
        <b/>
        <sz val="11"/>
        <color rgb="FF0070C0"/>
        <rFont val="Calibri"/>
        <family val="2"/>
        <scheme val="minor"/>
      </rPr>
      <t xml:space="preserve"> 0</t>
    </r>
  </si>
  <si>
    <r>
      <t>❶</t>
    </r>
    <r>
      <rPr>
        <b/>
        <sz val="9"/>
        <color rgb="FF0070C0"/>
        <rFont val="Calibri"/>
        <family val="2"/>
      </rPr>
      <t>❷❺❼❽</t>
    </r>
    <r>
      <rPr>
        <b/>
        <sz val="9"/>
        <color rgb="FF0070C0"/>
        <rFont val="Calibri"/>
        <family val="2"/>
        <scheme val="minor"/>
      </rPr>
      <t>⓫</t>
    </r>
    <r>
      <rPr>
        <b/>
        <sz val="9"/>
        <color rgb="FF0070C0"/>
        <rFont val="Calibri"/>
        <family val="2"/>
      </rPr>
      <t>⓬</t>
    </r>
  </si>
  <si>
    <t>❶❷❺❼❽⓫⓬</t>
  </si>
  <si>
    <r>
      <t>wenn 0 &lt;</t>
    </r>
    <r>
      <rPr>
        <b/>
        <sz val="11"/>
        <color rgb="FF0070C0"/>
        <rFont val="Calibri"/>
        <family val="2"/>
      </rPr>
      <t xml:space="preserve"> x &lt; 1</t>
    </r>
  </si>
  <si>
    <r>
      <t xml:space="preserve">wenn x </t>
    </r>
    <r>
      <rPr>
        <b/>
        <sz val="11"/>
        <color rgb="FF0070C0"/>
        <rFont val="Calibri"/>
        <family val="2"/>
      </rPr>
      <t>≤</t>
    </r>
    <r>
      <rPr>
        <b/>
        <sz val="11"/>
        <color rgb="FF0070C0"/>
        <rFont val="Calibri"/>
        <family val="2"/>
        <scheme val="minor"/>
      </rPr>
      <t xml:space="preserve"> 0</t>
    </r>
  </si>
  <si>
    <r>
      <t>❶</t>
    </r>
    <r>
      <rPr>
        <b/>
        <sz val="9"/>
        <color rgb="FF0070C0"/>
        <rFont val="Calibri"/>
        <family val="2"/>
      </rPr>
      <t>❽</t>
    </r>
  </si>
  <si>
    <t>❶❽</t>
  </si>
  <si>
    <r>
      <t xml:space="preserve">x </t>
    </r>
    <r>
      <rPr>
        <sz val="11"/>
        <color rgb="FFFF0000"/>
        <rFont val="Calibri"/>
        <family val="2"/>
      </rPr>
      <t>≥ 1</t>
    </r>
  </si>
  <si>
    <r>
      <t xml:space="preserve">Begrenzung Y </t>
    </r>
    <r>
      <rPr>
        <sz val="11"/>
        <color rgb="FFFF0000"/>
        <rFont val="Calibri"/>
        <family val="2"/>
      </rPr>
      <t>≥</t>
    </r>
    <r>
      <rPr>
        <sz val="11"/>
        <color rgb="FFFF0000"/>
        <rFont val="Calibri"/>
        <family val="2"/>
        <scheme val="minor"/>
      </rPr>
      <t>:</t>
    </r>
  </si>
  <si>
    <r>
      <t xml:space="preserve">Begrenzung Y </t>
    </r>
    <r>
      <rPr>
        <sz val="11"/>
        <color rgb="FFFF0000"/>
        <rFont val="Calibri"/>
        <family val="2"/>
      </rPr>
      <t>≥ 1</t>
    </r>
  </si>
  <si>
    <r>
      <t xml:space="preserve">Begrenzung Y </t>
    </r>
    <r>
      <rPr>
        <sz val="11"/>
        <color rgb="FFFF0000"/>
        <rFont val="Calibri"/>
        <family val="2"/>
      </rPr>
      <t>≥</t>
    </r>
  </si>
  <si>
    <t>Begrenzung Y &gt;</t>
  </si>
  <si>
    <t>Funktionale Y-Werte Spalte F</t>
  </si>
  <si>
    <t>Gemessene Y - Werte Spalte B</t>
  </si>
  <si>
    <t>Der Koeffizient IrI mit dem höchsten Wert bezeichnet die Funktion mit der besten</t>
  </si>
  <si>
    <t xml:space="preserve">Angleichung an die Messwerte. Wird für IrI und weitere Kenngrössen im Ergebnis </t>
  </si>
  <si>
    <t>diese Funktion ausserhalb des reellen Zahlenspektrums (unbrauchbare Funktion).</t>
  </si>
  <si>
    <r>
      <t xml:space="preserve">"keine Lösung", oder für IrI der Wert </t>
    </r>
    <r>
      <rPr>
        <b/>
        <sz val="11"/>
        <color rgb="FFFF0000"/>
        <rFont val="Calibri"/>
        <family val="2"/>
      </rPr>
      <t>#Zahl! angegeben</t>
    </r>
    <r>
      <rPr>
        <b/>
        <sz val="11"/>
        <color rgb="FFFF0000"/>
        <rFont val="Calibri"/>
        <family val="2"/>
        <scheme val="minor"/>
      </rPr>
      <t xml:space="preserve">, so bewegen sich die Messwerte für </t>
    </r>
  </si>
  <si>
    <r>
      <rPr>
        <sz val="11"/>
        <color theme="0"/>
        <rFont val="Calibri"/>
        <family val="2"/>
      </rPr>
      <t>∑(</t>
    </r>
    <r>
      <rPr>
        <sz val="11"/>
        <color theme="0"/>
        <rFont val="Calibri"/>
        <family val="2"/>
        <scheme val="minor"/>
      </rPr>
      <t>y^2)</t>
    </r>
  </si>
  <si>
    <r>
      <t xml:space="preserve">Eingabepare:  4 </t>
    </r>
    <r>
      <rPr>
        <b/>
        <sz val="11"/>
        <color theme="0"/>
        <rFont val="Calibri"/>
        <family val="2"/>
      </rPr>
      <t>≤ n ≤ 40</t>
    </r>
  </si>
  <si>
    <t xml:space="preserve">Zum Beispiel: Bei 10 Zahlenpaaren ab Zeile 6 bis und mit Zeile 15. Die Zahlenpaare müssen </t>
  </si>
  <si>
    <t>Das hier eingetragene Beispiel kann überschrieben werden und ist nach jedem</t>
  </si>
  <si>
    <t xml:space="preserve">DIE AN DIE LEERBLEIBENDE GELBFRLÄCHE ANGRENZENDEN  GRAUEN SPALTEN SIND  </t>
  </si>
  <si>
    <t>JEWEILS MIT DEN WERTEN "1" RESPEKTIVE "EXP(1)"  NEU ZU FÜLLEN BZW. ZU BELASSEN!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</si>
</sst>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8"/>
      <name val="Calibri"/>
      <family val="2"/>
      <scheme val="minor"/>
    </font>
    <font>
      <b/>
      <sz val="11"/>
      <color theme="8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rgb="FF0070C0"/>
      <name val="Calibri"/>
      <family val="2"/>
    </font>
    <font>
      <b/>
      <sz val="11"/>
      <color rgb="FF0070C0"/>
      <name val="Calibri"/>
      <family val="2"/>
    </font>
    <font>
      <b/>
      <sz val="14"/>
      <color rgb="FFFF0000"/>
      <name val="Calibri"/>
      <family val="2"/>
      <scheme val="minor"/>
    </font>
    <font>
      <b/>
      <sz val="14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</font>
    <font>
      <b/>
      <sz val="11"/>
      <color rgb="FFFF0000"/>
      <name val="Calibri"/>
      <family val="2"/>
    </font>
    <font>
      <b/>
      <u/>
      <sz val="11"/>
      <color theme="10"/>
      <name val="Calibri"/>
      <family val="2"/>
      <scheme val="minor"/>
    </font>
    <font>
      <sz val="15.75"/>
      <color rgb="FFFF0000"/>
      <name val="Calibri"/>
      <family val="2"/>
    </font>
    <font>
      <i/>
      <sz val="9"/>
      <color rgb="FFFF0000"/>
      <name val="Calibri"/>
      <family val="2"/>
      <scheme val="minor"/>
    </font>
    <font>
      <b/>
      <sz val="9"/>
      <color rgb="FF0070C0"/>
      <name val="Calibri"/>
      <family val="2"/>
      <scheme val="minor"/>
    </font>
    <font>
      <b/>
      <sz val="9"/>
      <color rgb="FF0070C0"/>
      <name val="Calibri"/>
      <family val="2"/>
    </font>
    <font>
      <sz val="9"/>
      <color rgb="FF0070C0"/>
      <name val="Calibri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sz val="11"/>
      <color theme="0"/>
      <name val="Calibri"/>
      <family val="2"/>
    </font>
    <font>
      <b/>
      <sz val="11"/>
      <color theme="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/>
      <bottom/>
      <diagonal/>
    </border>
    <border>
      <left style="thick">
        <color auto="1"/>
      </left>
      <right style="mediumDashed">
        <color auto="1"/>
      </right>
      <top style="thick">
        <color auto="1"/>
      </top>
      <bottom/>
      <diagonal/>
    </border>
    <border>
      <left style="mediumDashed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mediumDashed">
        <color auto="1"/>
      </right>
      <top/>
      <bottom/>
      <diagonal/>
    </border>
    <border>
      <left style="mediumDashed">
        <color auto="1"/>
      </left>
      <right style="thick">
        <color auto="1"/>
      </right>
      <top/>
      <bottom/>
      <diagonal/>
    </border>
  </borders>
  <cellStyleXfs count="2">
    <xf numFmtId="0" fontId="0" fillId="0" borderId="0"/>
    <xf numFmtId="0" fontId="18" fillId="0" borderId="0" applyNumberFormat="0" applyFill="0" applyBorder="0" applyAlignment="0" applyProtection="0"/>
  </cellStyleXfs>
  <cellXfs count="281">
    <xf numFmtId="0" fontId="0" fillId="0" borderId="0" xfId="0"/>
    <xf numFmtId="0" fontId="16" fillId="5" borderId="12" xfId="0" applyFont="1" applyFill="1" applyBorder="1" applyAlignment="1" applyProtection="1">
      <protection hidden="1"/>
    </xf>
    <xf numFmtId="0" fontId="3" fillId="0" borderId="1" xfId="0" applyFont="1" applyBorder="1" applyAlignment="1" applyProtection="1">
      <protection hidden="1"/>
    </xf>
    <xf numFmtId="0" fontId="3" fillId="0" borderId="13" xfId="0" applyFont="1" applyBorder="1" applyAlignment="1" applyProtection="1">
      <protection hidden="1"/>
    </xf>
    <xf numFmtId="0" fontId="7" fillId="0" borderId="11" xfId="0" applyFont="1" applyBorder="1" applyAlignment="1" applyProtection="1">
      <alignment horizontal="center"/>
      <protection hidden="1"/>
    </xf>
    <xf numFmtId="0" fontId="7" fillId="0" borderId="11" xfId="0" applyFont="1" applyBorder="1" applyAlignment="1" applyProtection="1">
      <alignment horizontal="left"/>
      <protection hidden="1"/>
    </xf>
    <xf numFmtId="0" fontId="9" fillId="0" borderId="11" xfId="0" applyFont="1" applyBorder="1" applyAlignment="1" applyProtection="1">
      <alignment horizontal="center"/>
      <protection hidden="1"/>
    </xf>
    <xf numFmtId="0" fontId="0" fillId="0" borderId="0" xfId="0" applyBorder="1" applyAlignment="1" applyProtection="1">
      <protection hidden="1"/>
    </xf>
    <xf numFmtId="0" fontId="0" fillId="0" borderId="0" xfId="0" applyProtection="1">
      <protection hidden="1"/>
    </xf>
    <xf numFmtId="0" fontId="3" fillId="0" borderId="14" xfId="0" applyFont="1" applyBorder="1" applyAlignment="1" applyProtection="1">
      <protection hidden="1"/>
    </xf>
    <xf numFmtId="0" fontId="3" fillId="0" borderId="15" xfId="0" applyFont="1" applyBorder="1" applyAlignment="1" applyProtection="1">
      <protection hidden="1"/>
    </xf>
    <xf numFmtId="0" fontId="3" fillId="0" borderId="16" xfId="0" applyFont="1" applyBorder="1" applyAlignment="1" applyProtection="1">
      <protection hidden="1"/>
    </xf>
    <xf numFmtId="0" fontId="0" fillId="0" borderId="18" xfId="0" applyBorder="1" applyAlignment="1" applyProtection="1">
      <protection hidden="1"/>
    </xf>
    <xf numFmtId="0" fontId="0" fillId="0" borderId="18" xfId="0" applyBorder="1" applyProtection="1">
      <protection hidden="1"/>
    </xf>
    <xf numFmtId="0" fontId="0" fillId="0" borderId="14" xfId="0" applyBorder="1" applyProtection="1">
      <protection hidden="1"/>
    </xf>
    <xf numFmtId="0" fontId="0" fillId="0" borderId="16" xfId="0" applyBorder="1" applyProtection="1">
      <protection hidden="1"/>
    </xf>
    <xf numFmtId="0" fontId="3" fillId="0" borderId="0" xfId="0" applyFont="1" applyBorder="1" applyAlignment="1" applyProtection="1">
      <alignment horizontal="center"/>
      <protection hidden="1"/>
    </xf>
    <xf numFmtId="0" fontId="7" fillId="2" borderId="2" xfId="0" applyFont="1" applyFill="1" applyBorder="1" applyAlignment="1" applyProtection="1">
      <protection hidden="1"/>
    </xf>
    <xf numFmtId="0" fontId="7" fillId="2" borderId="3" xfId="0" applyFont="1" applyFill="1" applyBorder="1" applyAlignment="1" applyProtection="1">
      <protection hidden="1"/>
    </xf>
    <xf numFmtId="0" fontId="0" fillId="2" borderId="12" xfId="0" applyFill="1" applyBorder="1" applyAlignment="1" applyProtection="1">
      <alignment horizontal="center" vertical="center"/>
      <protection hidden="1"/>
    </xf>
    <xf numFmtId="0" fontId="0" fillId="2" borderId="1" xfId="0" applyFill="1" applyBorder="1" applyAlignment="1" applyProtection="1">
      <alignment horizontal="center" vertical="center"/>
      <protection hidden="1"/>
    </xf>
    <xf numFmtId="0" fontId="7" fillId="2" borderId="12" xfId="0" applyFont="1" applyFill="1" applyBorder="1" applyProtection="1">
      <protection hidden="1"/>
    </xf>
    <xf numFmtId="0" fontId="7" fillId="2" borderId="13" xfId="0" applyFont="1" applyFill="1" applyBorder="1" applyProtection="1">
      <protection hidden="1"/>
    </xf>
    <xf numFmtId="0" fontId="7" fillId="0" borderId="11" xfId="0" applyFont="1" applyBorder="1" applyAlignment="1" applyProtection="1">
      <alignment horizontal="center" vertical="center"/>
      <protection hidden="1"/>
    </xf>
    <xf numFmtId="0" fontId="7" fillId="0" borderId="17" xfId="0" applyFont="1" applyBorder="1" applyAlignment="1" applyProtection="1">
      <alignment horizontal="center" vertical="center"/>
      <protection hidden="1"/>
    </xf>
    <xf numFmtId="0" fontId="7" fillId="0" borderId="2" xfId="0" applyFont="1" applyBorder="1" applyAlignment="1" applyProtection="1">
      <alignment horizontal="right" vertical="center"/>
      <protection hidden="1"/>
    </xf>
    <xf numFmtId="0" fontId="9" fillId="0" borderId="3" xfId="0" applyFont="1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7" fillId="2" borderId="2" xfId="0" applyFont="1" applyFill="1" applyBorder="1" applyProtection="1">
      <protection hidden="1"/>
    </xf>
    <xf numFmtId="0" fontId="7" fillId="2" borderId="3" xfId="0" applyFont="1" applyFill="1" applyBorder="1" applyProtection="1">
      <protection hidden="1"/>
    </xf>
    <xf numFmtId="0" fontId="7" fillId="0" borderId="2" xfId="0" applyFont="1" applyBorder="1" applyAlignment="1" applyProtection="1">
      <alignment horizontal="right"/>
      <protection hidden="1"/>
    </xf>
    <xf numFmtId="0" fontId="9" fillId="0" borderId="0" xfId="0" applyFont="1" applyBorder="1" applyAlignment="1" applyProtection="1">
      <alignment horizontal="center"/>
      <protection hidden="1"/>
    </xf>
    <xf numFmtId="0" fontId="10" fillId="0" borderId="0" xfId="0" applyFont="1" applyBorder="1" applyAlignment="1" applyProtection="1">
      <alignment horizontal="center" vertical="center"/>
      <protection hidden="1"/>
    </xf>
    <xf numFmtId="0" fontId="2" fillId="2" borderId="5" xfId="0" applyFont="1" applyFill="1" applyBorder="1" applyAlignment="1" applyProtection="1">
      <alignment horizontal="center" vertical="center"/>
      <protection hidden="1"/>
    </xf>
    <xf numFmtId="0" fontId="2" fillId="2" borderId="20" xfId="0" applyFont="1" applyFill="1" applyBorder="1" applyAlignment="1" applyProtection="1">
      <alignment horizontal="center" vertical="center"/>
      <protection hidden="1"/>
    </xf>
    <xf numFmtId="0" fontId="7" fillId="2" borderId="14" xfId="0" applyFont="1" applyFill="1" applyBorder="1" applyProtection="1">
      <protection hidden="1"/>
    </xf>
    <xf numFmtId="0" fontId="7" fillId="2" borderId="16" xfId="0" applyFont="1" applyFill="1" applyBorder="1" applyProtection="1">
      <protection hidden="1"/>
    </xf>
    <xf numFmtId="0" fontId="0" fillId="0" borderId="0" xfId="0" applyBorder="1" applyAlignment="1" applyProtection="1">
      <alignment horizont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9" fillId="0" borderId="0" xfId="0" applyFont="1" applyBorder="1" applyAlignment="1" applyProtection="1">
      <alignment horizontal="center" vertical="center"/>
      <protection hidden="1"/>
    </xf>
    <xf numFmtId="0" fontId="0" fillId="0" borderId="3" xfId="0" applyBorder="1" applyAlignment="1" applyProtection="1">
      <alignment horizontal="center"/>
      <protection hidden="1"/>
    </xf>
    <xf numFmtId="0" fontId="7" fillId="0" borderId="18" xfId="0" applyFont="1" applyBorder="1" applyAlignment="1" applyProtection="1">
      <alignment horizontal="center" vertical="center"/>
      <protection hidden="1"/>
    </xf>
    <xf numFmtId="0" fontId="7" fillId="0" borderId="14" xfId="0" applyFont="1" applyBorder="1" applyAlignment="1" applyProtection="1">
      <alignment horizontal="right"/>
      <protection hidden="1"/>
    </xf>
    <xf numFmtId="0" fontId="0" fillId="0" borderId="16" xfId="0" applyBorder="1" applyAlignment="1" applyProtection="1">
      <alignment horizontal="center"/>
      <protection hidden="1"/>
    </xf>
    <xf numFmtId="0" fontId="7" fillId="0" borderId="2" xfId="0" applyFont="1" applyBorder="1" applyAlignment="1" applyProtection="1">
      <alignment horizontal="left" vertical="center"/>
      <protection hidden="1"/>
    </xf>
    <xf numFmtId="0" fontId="7" fillId="0" borderId="0" xfId="0" applyFont="1" applyBorder="1" applyAlignment="1" applyProtection="1">
      <alignment horizontal="left" vertical="center"/>
      <protection hidden="1"/>
    </xf>
    <xf numFmtId="0" fontId="1" fillId="0" borderId="3" xfId="0" applyFont="1" applyBorder="1" applyAlignment="1" applyProtection="1">
      <protection hidden="1"/>
    </xf>
    <xf numFmtId="0" fontId="5" fillId="0" borderId="2" xfId="0" applyFont="1" applyBorder="1" applyAlignment="1" applyProtection="1">
      <alignment horizontal="left" vertical="center"/>
      <protection hidden="1"/>
    </xf>
    <xf numFmtId="0" fontId="0" fillId="0" borderId="3" xfId="0" applyBorder="1" applyAlignment="1" applyProtection="1">
      <protection hidden="1"/>
    </xf>
    <xf numFmtId="0" fontId="1" fillId="0" borderId="0" xfId="0" applyFont="1" applyBorder="1" applyAlignment="1" applyProtection="1">
      <alignment horizontal="center" vertical="center"/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1" fillId="0" borderId="0" xfId="0" applyFont="1" applyBorder="1" applyAlignment="1" applyProtection="1">
      <protection hidden="1"/>
    </xf>
    <xf numFmtId="0" fontId="0" fillId="0" borderId="3" xfId="0" applyFill="1" applyBorder="1" applyAlignment="1" applyProtection="1">
      <protection hidden="1"/>
    </xf>
    <xf numFmtId="0" fontId="7" fillId="0" borderId="3" xfId="0" applyFont="1" applyBorder="1" applyAlignment="1" applyProtection="1">
      <alignment horizontal="left" vertical="center"/>
      <protection hidden="1"/>
    </xf>
    <xf numFmtId="0" fontId="7" fillId="0" borderId="2" xfId="0" applyFont="1" applyFill="1" applyBorder="1" applyAlignment="1" applyProtection="1">
      <alignment horizontal="left" vertical="center"/>
      <protection hidden="1"/>
    </xf>
    <xf numFmtId="0" fontId="0" fillId="0" borderId="0" xfId="0" applyBorder="1" applyProtection="1">
      <protection hidden="1"/>
    </xf>
    <xf numFmtId="0" fontId="0" fillId="0" borderId="3" xfId="0" applyBorder="1" applyProtection="1">
      <protection hidden="1"/>
    </xf>
    <xf numFmtId="0" fontId="0" fillId="0" borderId="2" xfId="0" applyBorder="1" applyProtection="1">
      <protection hidden="1"/>
    </xf>
    <xf numFmtId="0" fontId="0" fillId="0" borderId="3" xfId="0" applyFill="1" applyBorder="1" applyProtection="1">
      <protection hidden="1"/>
    </xf>
    <xf numFmtId="0" fontId="7" fillId="0" borderId="2" xfId="0" applyFont="1" applyBorder="1" applyAlignment="1" applyProtection="1">
      <protection hidden="1"/>
    </xf>
    <xf numFmtId="0" fontId="7" fillId="0" borderId="0" xfId="0" applyFont="1" applyBorder="1" applyAlignment="1" applyProtection="1">
      <protection hidden="1"/>
    </xf>
    <xf numFmtId="0" fontId="1" fillId="0" borderId="0" xfId="0" applyFont="1" applyBorder="1" applyProtection="1">
      <protection hidden="1"/>
    </xf>
    <xf numFmtId="0" fontId="7" fillId="0" borderId="2" xfId="0" applyFont="1" applyBorder="1" applyProtection="1">
      <protection hidden="1"/>
    </xf>
    <xf numFmtId="0" fontId="7" fillId="0" borderId="0" xfId="0" applyFont="1" applyProtection="1">
      <protection hidden="1"/>
    </xf>
    <xf numFmtId="0" fontId="7" fillId="0" borderId="3" xfId="0" applyFont="1" applyBorder="1" applyProtection="1">
      <protection hidden="1"/>
    </xf>
    <xf numFmtId="0" fontId="7" fillId="0" borderId="0" xfId="0" applyFont="1" applyBorder="1" applyProtection="1">
      <protection hidden="1"/>
    </xf>
    <xf numFmtId="0" fontId="7" fillId="0" borderId="3" xfId="0" applyFont="1" applyBorder="1" applyAlignment="1" applyProtection="1">
      <alignment horizontal="center" vertical="center"/>
      <protection hidden="1"/>
    </xf>
    <xf numFmtId="0" fontId="5" fillId="0" borderId="2" xfId="0" applyFont="1" applyBorder="1" applyProtection="1">
      <protection hidden="1"/>
    </xf>
    <xf numFmtId="0" fontId="21" fillId="0" borderId="0" xfId="1" applyFont="1" applyProtection="1">
      <protection hidden="1"/>
    </xf>
    <xf numFmtId="0" fontId="2" fillId="0" borderId="3" xfId="0" applyFont="1" applyBorder="1" applyProtection="1">
      <protection hidden="1"/>
    </xf>
    <xf numFmtId="0" fontId="7" fillId="2" borderId="0" xfId="0" applyFont="1" applyFill="1" applyBorder="1" applyAlignment="1" applyProtection="1">
      <protection hidden="1"/>
    </xf>
    <xf numFmtId="0" fontId="7" fillId="2" borderId="0" xfId="0" applyFont="1" applyFill="1" applyBorder="1" applyAlignment="1" applyProtection="1">
      <alignment horizontal="center" vertical="center"/>
      <protection hidden="1"/>
    </xf>
    <xf numFmtId="0" fontId="0" fillId="2" borderId="3" xfId="0" applyFill="1" applyBorder="1" applyProtection="1">
      <protection hidden="1"/>
    </xf>
    <xf numFmtId="0" fontId="8" fillId="8" borderId="2" xfId="0" applyFont="1" applyFill="1" applyBorder="1" applyProtection="1">
      <protection hidden="1"/>
    </xf>
    <xf numFmtId="0" fontId="8" fillId="8" borderId="0" xfId="0" applyFont="1" applyFill="1" applyBorder="1" applyProtection="1">
      <protection hidden="1"/>
    </xf>
    <xf numFmtId="0" fontId="6" fillId="8" borderId="3" xfId="0" applyFont="1" applyFill="1" applyBorder="1" applyProtection="1">
      <protection hidden="1"/>
    </xf>
    <xf numFmtId="0" fontId="0" fillId="0" borderId="0" xfId="0" applyFill="1" applyBorder="1" applyAlignment="1" applyProtection="1">
      <alignment horizontal="center" vertical="center"/>
      <protection hidden="1"/>
    </xf>
    <xf numFmtId="0" fontId="6" fillId="8" borderId="0" xfId="0" applyFont="1" applyFill="1" applyBorder="1" applyProtection="1">
      <protection hidden="1"/>
    </xf>
    <xf numFmtId="0" fontId="0" fillId="0" borderId="0" xfId="0" applyBorder="1" applyAlignment="1" applyProtection="1">
      <alignment horizontal="left" vertical="center"/>
      <protection hidden="1"/>
    </xf>
    <xf numFmtId="0" fontId="0" fillId="0" borderId="0" xfId="0" applyFill="1" applyBorder="1" applyAlignment="1" applyProtection="1">
      <alignment horizontal="left" vertical="center"/>
      <protection hidden="1"/>
    </xf>
    <xf numFmtId="0" fontId="5" fillId="0" borderId="0" xfId="0" applyFont="1" applyBorder="1" applyAlignment="1" applyProtection="1">
      <alignment horizontal="left" vertical="center"/>
      <protection hidden="1"/>
    </xf>
    <xf numFmtId="0" fontId="5" fillId="0" borderId="0" xfId="0" applyFont="1" applyFill="1" applyBorder="1" applyAlignment="1" applyProtection="1">
      <alignment horizontal="left" vertical="center"/>
      <protection hidden="1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horizontal="center" vertical="center"/>
      <protection hidden="1"/>
    </xf>
    <xf numFmtId="0" fontId="5" fillId="0" borderId="3" xfId="0" applyFont="1" applyFill="1" applyBorder="1" applyAlignment="1" applyProtection="1">
      <alignment horizontal="center"/>
      <protection hidden="1"/>
    </xf>
    <xf numFmtId="0" fontId="15" fillId="0" borderId="0" xfId="0" applyFont="1" applyFill="1" applyBorder="1" applyAlignment="1" applyProtection="1">
      <alignment horizontal="center" vertical="center"/>
      <protection hidden="1"/>
    </xf>
    <xf numFmtId="0" fontId="24" fillId="0" borderId="3" xfId="0" applyFont="1" applyFill="1" applyBorder="1" applyAlignment="1" applyProtection="1">
      <alignment horizontal="center"/>
      <protection hidden="1"/>
    </xf>
    <xf numFmtId="0" fontId="5" fillId="0" borderId="2" xfId="0" applyFont="1" applyBorder="1" applyAlignment="1" applyProtection="1">
      <alignment horizontal="center"/>
      <protection hidden="1"/>
    </xf>
    <xf numFmtId="0" fontId="5" fillId="0" borderId="0" xfId="0" applyFont="1" applyAlignment="1" applyProtection="1">
      <alignment horizontal="center"/>
      <protection hidden="1"/>
    </xf>
    <xf numFmtId="0" fontId="24" fillId="0" borderId="3" xfId="0" applyFont="1" applyBorder="1" applyAlignment="1" applyProtection="1">
      <alignment horizontal="center"/>
      <protection hidden="1"/>
    </xf>
    <xf numFmtId="0" fontId="5" fillId="0" borderId="2" xfId="0" applyFont="1" applyFill="1" applyBorder="1" applyAlignment="1" applyProtection="1">
      <alignment horizontal="center"/>
      <protection hidden="1"/>
    </xf>
    <xf numFmtId="0" fontId="25" fillId="0" borderId="0" xfId="0" applyFont="1" applyFill="1" applyBorder="1" applyAlignment="1" applyProtection="1">
      <alignment horizontal="center" vertical="center"/>
      <protection hidden="1"/>
    </xf>
    <xf numFmtId="0" fontId="25" fillId="0" borderId="0" xfId="0" applyFont="1" applyFill="1" applyBorder="1" applyAlignment="1" applyProtection="1">
      <alignment horizontal="center"/>
      <protection hidden="1"/>
    </xf>
    <xf numFmtId="0" fontId="0" fillId="4" borderId="14" xfId="0" applyFill="1" applyBorder="1" applyAlignment="1" applyProtection="1">
      <alignment horizontal="center"/>
      <protection hidden="1"/>
    </xf>
    <xf numFmtId="0" fontId="0" fillId="4" borderId="16" xfId="0" applyFill="1" applyBorder="1" applyAlignment="1" applyProtection="1">
      <alignment horizontal="center"/>
      <protection hidden="1"/>
    </xf>
    <xf numFmtId="0" fontId="4" fillId="3" borderId="19" xfId="0" applyFont="1" applyFill="1" applyBorder="1" applyProtection="1">
      <protection hidden="1"/>
    </xf>
    <xf numFmtId="0" fontId="8" fillId="2" borderId="19" xfId="0" applyFont="1" applyFill="1" applyBorder="1" applyAlignment="1" applyProtection="1">
      <alignment horizontal="center"/>
      <protection hidden="1"/>
    </xf>
    <xf numFmtId="0" fontId="0" fillId="4" borderId="0" xfId="0" applyFill="1" applyBorder="1" applyProtection="1">
      <protection hidden="1"/>
    </xf>
    <xf numFmtId="0" fontId="0" fillId="4" borderId="3" xfId="0" applyFill="1" applyBorder="1" applyProtection="1">
      <protection hidden="1"/>
    </xf>
    <xf numFmtId="0" fontId="5" fillId="0" borderId="14" xfId="0" applyFont="1" applyBorder="1" applyAlignment="1" applyProtection="1">
      <alignment horizontal="center"/>
      <protection hidden="1"/>
    </xf>
    <xf numFmtId="0" fontId="26" fillId="0" borderId="15" xfId="0" applyFont="1" applyBorder="1" applyAlignment="1" applyProtection="1">
      <alignment horizontal="center"/>
      <protection hidden="1"/>
    </xf>
    <xf numFmtId="0" fontId="24" fillId="0" borderId="15" xfId="0" applyFont="1" applyBorder="1" applyAlignment="1" applyProtection="1">
      <alignment horizontal="center"/>
      <protection hidden="1"/>
    </xf>
    <xf numFmtId="0" fontId="24" fillId="0" borderId="16" xfId="0" applyFont="1" applyBorder="1" applyAlignment="1" applyProtection="1">
      <alignment horizontal="center"/>
      <protection hidden="1"/>
    </xf>
    <xf numFmtId="0" fontId="1" fillId="0" borderId="0" xfId="0" applyFont="1" applyBorder="1" applyAlignment="1" applyProtection="1">
      <alignment horizontal="left" vertical="top"/>
      <protection hidden="1"/>
    </xf>
    <xf numFmtId="0" fontId="0" fillId="0" borderId="0" xfId="0" applyBorder="1" applyAlignment="1" applyProtection="1">
      <alignment horizontal="left" vertical="top"/>
      <protection hidden="1"/>
    </xf>
    <xf numFmtId="0" fontId="1" fillId="0" borderId="0" xfId="0" applyFont="1" applyFill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horizontal="left"/>
      <protection hidden="1"/>
    </xf>
    <xf numFmtId="0" fontId="0" fillId="0" borderId="0" xfId="0" applyFill="1" applyBorder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Fill="1" applyAlignment="1" applyProtection="1">
      <alignment horizontal="center"/>
      <protection hidden="1"/>
    </xf>
    <xf numFmtId="0" fontId="1" fillId="0" borderId="0" xfId="0" applyFont="1" applyAlignment="1" applyProtection="1">
      <alignment horizontal="left"/>
      <protection hidden="1"/>
    </xf>
    <xf numFmtId="0" fontId="1" fillId="0" borderId="0" xfId="0" applyFont="1" applyAlignment="1" applyProtection="1">
      <alignment horizontal="center"/>
      <protection hidden="1"/>
    </xf>
    <xf numFmtId="0" fontId="2" fillId="2" borderId="5" xfId="0" applyFont="1" applyFill="1" applyBorder="1" applyAlignment="1" applyProtection="1">
      <alignment horizontal="center" vertical="center"/>
      <protection locked="0" hidden="1"/>
    </xf>
    <xf numFmtId="0" fontId="12" fillId="7" borderId="9" xfId="0" applyFont="1" applyFill="1" applyBorder="1" applyAlignment="1" applyProtection="1">
      <alignment horizontal="center" vertical="center"/>
      <protection locked="0" hidden="1"/>
    </xf>
    <xf numFmtId="0" fontId="11" fillId="7" borderId="22" xfId="0" applyFont="1" applyFill="1" applyBorder="1" applyAlignment="1" applyProtection="1">
      <alignment horizontal="center" vertical="center"/>
      <protection locked="0" hidden="1"/>
    </xf>
    <xf numFmtId="0" fontId="2" fillId="7" borderId="9" xfId="0" applyFont="1" applyFill="1" applyBorder="1" applyAlignment="1" applyProtection="1">
      <alignment horizontal="center" vertical="center"/>
      <protection locked="0" hidden="1"/>
    </xf>
    <xf numFmtId="0" fontId="2" fillId="7" borderId="10" xfId="0" applyFont="1" applyFill="1" applyBorder="1" applyAlignment="1" applyProtection="1">
      <alignment horizontal="center" vertical="center"/>
      <protection locked="0" hidden="1"/>
    </xf>
    <xf numFmtId="0" fontId="11" fillId="7" borderId="21" xfId="0" applyFont="1" applyFill="1" applyBorder="1" applyAlignment="1" applyProtection="1">
      <alignment horizontal="center" vertical="center"/>
      <protection locked="0" hidden="1"/>
    </xf>
    <xf numFmtId="0" fontId="12" fillId="7" borderId="5" xfId="0" applyFont="1" applyFill="1" applyBorder="1" applyAlignment="1" applyProtection="1">
      <alignment horizontal="center" vertical="center"/>
      <protection locked="0" hidden="1"/>
    </xf>
    <xf numFmtId="0" fontId="11" fillId="7" borderId="24" xfId="0" applyFont="1" applyFill="1" applyBorder="1" applyAlignment="1" applyProtection="1">
      <alignment horizontal="center" vertical="center"/>
      <protection locked="0" hidden="1"/>
    </xf>
    <xf numFmtId="0" fontId="2" fillId="7" borderId="5" xfId="0" applyFont="1" applyFill="1" applyBorder="1" applyAlignment="1" applyProtection="1">
      <alignment horizontal="center" vertical="center"/>
      <protection locked="0" hidden="1"/>
    </xf>
    <xf numFmtId="0" fontId="2" fillId="7" borderId="6" xfId="0" applyFont="1" applyFill="1" applyBorder="1" applyAlignment="1" applyProtection="1">
      <alignment horizontal="center" vertical="center"/>
      <protection locked="0" hidden="1"/>
    </xf>
    <xf numFmtId="0" fontId="11" fillId="7" borderId="23" xfId="0" applyFont="1" applyFill="1" applyBorder="1" applyAlignment="1" applyProtection="1">
      <alignment horizontal="center" vertical="center"/>
      <protection locked="0" hidden="1"/>
    </xf>
    <xf numFmtId="0" fontId="11" fillId="7" borderId="24" xfId="0" applyNumberFormat="1" applyFont="1" applyFill="1" applyBorder="1" applyAlignment="1" applyProtection="1">
      <alignment horizontal="center" vertical="center"/>
      <protection locked="0" hidden="1"/>
    </xf>
    <xf numFmtId="0" fontId="2" fillId="7" borderId="6" xfId="0" applyNumberFormat="1" applyFont="1" applyFill="1" applyBorder="1" applyAlignment="1" applyProtection="1">
      <alignment horizontal="center" vertical="center"/>
      <protection locked="0" hidden="1"/>
    </xf>
    <xf numFmtId="0" fontId="11" fillId="7" borderId="23" xfId="0" applyNumberFormat="1" applyFont="1" applyFill="1" applyBorder="1" applyAlignment="1" applyProtection="1">
      <alignment horizontal="center" vertical="center"/>
      <protection locked="0" hidden="1"/>
    </xf>
    <xf numFmtId="0" fontId="12" fillId="6" borderId="5" xfId="0" applyFont="1" applyFill="1" applyBorder="1" applyAlignment="1" applyProtection="1">
      <alignment horizontal="center" vertical="center"/>
      <protection locked="0" hidden="1"/>
    </xf>
    <xf numFmtId="0" fontId="11" fillId="6" borderId="24" xfId="0" applyFont="1" applyFill="1" applyBorder="1" applyAlignment="1" applyProtection="1">
      <alignment horizontal="center"/>
      <protection locked="0" hidden="1"/>
    </xf>
    <xf numFmtId="0" fontId="2" fillId="2" borderId="6" xfId="0" applyFont="1" applyFill="1" applyBorder="1" applyAlignment="1" applyProtection="1">
      <alignment horizontal="center" vertical="center"/>
      <protection locked="0" hidden="1"/>
    </xf>
    <xf numFmtId="0" fontId="11" fillId="6" borderId="23" xfId="0" applyFont="1" applyFill="1" applyBorder="1" applyAlignment="1" applyProtection="1">
      <alignment horizontal="center"/>
      <protection locked="0" hidden="1"/>
    </xf>
    <xf numFmtId="0" fontId="11" fillId="6" borderId="23" xfId="0" applyFont="1" applyFill="1" applyBorder="1" applyAlignment="1" applyProtection="1">
      <alignment horizontal="center" vertical="center"/>
      <protection locked="0" hidden="1"/>
    </xf>
    <xf numFmtId="0" fontId="7" fillId="2" borderId="0" xfId="0" applyFont="1" applyFill="1" applyBorder="1" applyAlignment="1" applyProtection="1">
      <alignment horizontal="center" vertical="center"/>
      <protection locked="0" hidden="1"/>
    </xf>
    <xf numFmtId="0" fontId="2" fillId="2" borderId="7" xfId="0" applyFont="1" applyFill="1" applyBorder="1" applyAlignment="1" applyProtection="1">
      <alignment horizontal="center" vertical="center"/>
      <protection locked="0" hidden="1"/>
    </xf>
    <xf numFmtId="0" fontId="2" fillId="2" borderId="8" xfId="0" applyFont="1" applyFill="1" applyBorder="1" applyAlignment="1" applyProtection="1">
      <alignment horizontal="center" vertical="center"/>
      <protection locked="0" hidden="1"/>
    </xf>
    <xf numFmtId="0" fontId="29" fillId="0" borderId="0" xfId="0" applyFont="1" applyFill="1" applyBorder="1" applyAlignment="1" applyProtection="1">
      <alignment horizontal="left"/>
      <protection hidden="1"/>
    </xf>
    <xf numFmtId="0" fontId="29" fillId="0" borderId="0" xfId="0" applyFont="1" applyFill="1" applyBorder="1" applyAlignment="1" applyProtection="1">
      <alignment horizontal="center"/>
      <protection hidden="1"/>
    </xf>
    <xf numFmtId="0" fontId="28" fillId="0" borderId="0" xfId="0" applyFont="1" applyFill="1" applyBorder="1" applyAlignment="1" applyProtection="1">
      <protection hidden="1"/>
    </xf>
    <xf numFmtId="0" fontId="28" fillId="0" borderId="0" xfId="0" applyFont="1" applyBorder="1" applyProtection="1">
      <protection hidden="1"/>
    </xf>
    <xf numFmtId="0" fontId="28" fillId="0" borderId="0" xfId="0" applyFont="1" applyProtection="1">
      <protection hidden="1"/>
    </xf>
    <xf numFmtId="0" fontId="1" fillId="0" borderId="0" xfId="0" applyFont="1" applyProtection="1">
      <protection hidden="1"/>
    </xf>
    <xf numFmtId="0" fontId="28" fillId="0" borderId="0" xfId="0" applyFont="1" applyFill="1" applyBorder="1" applyAlignment="1" applyProtection="1">
      <alignment horizontal="center" vertical="center"/>
      <protection hidden="1"/>
    </xf>
    <xf numFmtId="0" fontId="30" fillId="0" borderId="0" xfId="0" applyFont="1" applyFill="1" applyBorder="1" applyAlignment="1" applyProtection="1">
      <alignment horizontal="center" vertical="center"/>
      <protection hidden="1"/>
    </xf>
    <xf numFmtId="0" fontId="28" fillId="0" borderId="0" xfId="0" applyFont="1" applyFill="1" applyBorder="1" applyProtection="1">
      <protection hidden="1"/>
    </xf>
    <xf numFmtId="0" fontId="28" fillId="0" borderId="0" xfId="0" applyFont="1" applyBorder="1" applyAlignment="1" applyProtection="1">
      <alignment horizontal="center"/>
      <protection hidden="1"/>
    </xf>
    <xf numFmtId="0" fontId="28" fillId="0" borderId="15" xfId="0" applyFont="1" applyFill="1" applyBorder="1" applyAlignment="1" applyProtection="1">
      <alignment horizontal="center" vertical="center"/>
      <protection hidden="1"/>
    </xf>
    <xf numFmtId="0" fontId="28" fillId="0" borderId="15" xfId="0" applyFont="1" applyFill="1" applyBorder="1" applyProtection="1">
      <protection hidden="1"/>
    </xf>
    <xf numFmtId="0" fontId="1" fillId="0" borderId="12" xfId="0" applyFont="1" applyFill="1" applyBorder="1" applyAlignment="1" applyProtection="1">
      <alignment horizontal="center" vertical="center"/>
      <protection hidden="1"/>
    </xf>
    <xf numFmtId="0" fontId="1" fillId="0" borderId="1" xfId="0" applyFont="1" applyFill="1" applyBorder="1" applyAlignment="1" applyProtection="1">
      <alignment horizontal="center" vertical="center"/>
      <protection hidden="1"/>
    </xf>
    <xf numFmtId="0" fontId="1" fillId="0" borderId="13" xfId="0" applyFont="1" applyFill="1" applyBorder="1" applyProtection="1">
      <protection hidden="1"/>
    </xf>
    <xf numFmtId="0" fontId="1" fillId="0" borderId="2" xfId="0" applyFont="1" applyFill="1" applyBorder="1" applyAlignment="1" applyProtection="1">
      <alignment horizontal="center" vertical="center"/>
      <protection hidden="1"/>
    </xf>
    <xf numFmtId="0" fontId="1" fillId="0" borderId="3" xfId="0" applyFont="1" applyFill="1" applyBorder="1" applyProtection="1">
      <protection hidden="1"/>
    </xf>
    <xf numFmtId="0" fontId="28" fillId="0" borderId="0" xfId="0" applyFont="1" applyFill="1" applyProtection="1">
      <protection hidden="1"/>
    </xf>
    <xf numFmtId="0" fontId="1" fillId="0" borderId="12" xfId="0" applyFont="1" applyFill="1" applyBorder="1" applyProtection="1">
      <protection hidden="1"/>
    </xf>
    <xf numFmtId="0" fontId="1" fillId="0" borderId="1" xfId="0" applyFont="1" applyFill="1" applyBorder="1" applyProtection="1">
      <protection hidden="1"/>
    </xf>
    <xf numFmtId="0" fontId="27" fillId="0" borderId="0" xfId="0" applyFont="1" applyFill="1" applyProtection="1">
      <protection hidden="1"/>
    </xf>
    <xf numFmtId="0" fontId="27" fillId="0" borderId="0" xfId="0" applyFont="1" applyProtection="1">
      <protection hidden="1"/>
    </xf>
    <xf numFmtId="0" fontId="1" fillId="0" borderId="2" xfId="0" applyFont="1" applyFill="1" applyBorder="1" applyProtection="1">
      <protection hidden="1"/>
    </xf>
    <xf numFmtId="0" fontId="1" fillId="0" borderId="0" xfId="0" applyFont="1" applyFill="1" applyBorder="1" applyProtection="1">
      <protection hidden="1"/>
    </xf>
    <xf numFmtId="0" fontId="1" fillId="0" borderId="14" xfId="0" applyFont="1" applyFill="1" applyBorder="1" applyProtection="1">
      <protection hidden="1"/>
    </xf>
    <xf numFmtId="0" fontId="1" fillId="0" borderId="15" xfId="0" applyFont="1" applyFill="1" applyBorder="1" applyProtection="1">
      <protection hidden="1"/>
    </xf>
    <xf numFmtId="0" fontId="1" fillId="0" borderId="16" xfId="0" applyFont="1" applyFill="1" applyBorder="1" applyProtection="1">
      <protection hidden="1"/>
    </xf>
    <xf numFmtId="0" fontId="7" fillId="0" borderId="2" xfId="0" applyFont="1" applyFill="1" applyBorder="1" applyAlignment="1" applyProtection="1">
      <alignment horizontal="left" vertical="top"/>
      <protection hidden="1"/>
    </xf>
    <xf numFmtId="0" fontId="7" fillId="0" borderId="0" xfId="0" applyFont="1" applyFill="1" applyBorder="1" applyAlignment="1" applyProtection="1">
      <alignment horizontal="left" vertical="top"/>
      <protection hidden="1"/>
    </xf>
    <xf numFmtId="0" fontId="7" fillId="0" borderId="0" xfId="0" applyFont="1" applyFill="1" applyBorder="1" applyAlignment="1" applyProtection="1">
      <alignment horizontal="center" vertical="center"/>
      <protection hidden="1"/>
    </xf>
    <xf numFmtId="0" fontId="1" fillId="0" borderId="3" xfId="0" applyFont="1" applyFill="1" applyBorder="1" applyAlignment="1" applyProtection="1">
      <alignment horizontal="center"/>
      <protection hidden="1"/>
    </xf>
    <xf numFmtId="0" fontId="28" fillId="0" borderId="0" xfId="0" applyFont="1" applyFill="1" applyAlignment="1" applyProtection="1">
      <alignment horizontal="center"/>
      <protection hidden="1"/>
    </xf>
    <xf numFmtId="0" fontId="7" fillId="0" borderId="2" xfId="0" applyFont="1" applyFill="1" applyBorder="1" applyAlignment="1" applyProtection="1">
      <alignment horizontal="center"/>
      <protection hidden="1"/>
    </xf>
    <xf numFmtId="0" fontId="7" fillId="0" borderId="0" xfId="0" applyFont="1" applyFill="1" applyBorder="1" applyAlignment="1" applyProtection="1">
      <alignment horizontal="center"/>
      <protection hidden="1"/>
    </xf>
    <xf numFmtId="0" fontId="7" fillId="0" borderId="2" xfId="0" applyFont="1" applyFill="1" applyBorder="1" applyAlignment="1" applyProtection="1">
      <alignment horizontal="left"/>
      <protection hidden="1"/>
    </xf>
    <xf numFmtId="0" fontId="1" fillId="0" borderId="0" xfId="0" applyFont="1" applyFill="1" applyBorder="1" applyAlignment="1" applyProtection="1">
      <alignment horizontal="center"/>
      <protection hidden="1"/>
    </xf>
    <xf numFmtId="0" fontId="13" fillId="0" borderId="0" xfId="0" applyFont="1" applyFill="1" applyBorder="1" applyAlignment="1" applyProtection="1">
      <alignment horizontal="left"/>
      <protection hidden="1"/>
    </xf>
    <xf numFmtId="0" fontId="13" fillId="0" borderId="0" xfId="0" applyFont="1" applyFill="1" applyBorder="1" applyAlignment="1" applyProtection="1">
      <alignment horizontal="center" vertical="center"/>
      <protection hidden="1"/>
    </xf>
    <xf numFmtId="0" fontId="13" fillId="0" borderId="0" xfId="0" applyFont="1" applyFill="1" applyBorder="1" applyAlignment="1" applyProtection="1">
      <alignment horizontal="center"/>
      <protection hidden="1"/>
    </xf>
    <xf numFmtId="0" fontId="1" fillId="0" borderId="2" xfId="0" applyFont="1" applyFill="1" applyBorder="1" applyAlignment="1" applyProtection="1">
      <alignment horizontal="center"/>
      <protection hidden="1"/>
    </xf>
    <xf numFmtId="0" fontId="1" fillId="0" borderId="2" xfId="0" applyFont="1" applyBorder="1" applyProtection="1">
      <protection hidden="1"/>
    </xf>
    <xf numFmtId="0" fontId="1" fillId="9" borderId="0" xfId="0" applyFont="1" applyFill="1" applyAlignment="1" applyProtection="1">
      <alignment horizontal="center"/>
      <protection hidden="1"/>
    </xf>
    <xf numFmtId="0" fontId="1" fillId="0" borderId="3" xfId="0" applyFont="1" applyBorder="1" applyProtection="1">
      <protection hidden="1"/>
    </xf>
    <xf numFmtId="0" fontId="7" fillId="0" borderId="2" xfId="0" applyFont="1" applyFill="1" applyBorder="1" applyAlignment="1" applyProtection="1">
      <alignment horizontal="right"/>
      <protection hidden="1"/>
    </xf>
    <xf numFmtId="0" fontId="7" fillId="0" borderId="0" xfId="0" applyFont="1" applyFill="1" applyBorder="1" applyAlignment="1" applyProtection="1">
      <alignment horizontal="left"/>
      <protection hidden="1"/>
    </xf>
    <xf numFmtId="0" fontId="7" fillId="7" borderId="0" xfId="0" applyFont="1" applyFill="1" applyBorder="1" applyAlignment="1" applyProtection="1">
      <alignment horizontal="center"/>
      <protection hidden="1"/>
    </xf>
    <xf numFmtId="0" fontId="1" fillId="0" borderId="2" xfId="0" applyFont="1" applyFill="1" applyBorder="1" applyAlignment="1" applyProtection="1">
      <alignment horizontal="right"/>
      <protection hidden="1"/>
    </xf>
    <xf numFmtId="0" fontId="1" fillId="9" borderId="0" xfId="0" applyFont="1" applyFill="1" applyBorder="1" applyAlignment="1" applyProtection="1">
      <alignment horizontal="center"/>
      <protection hidden="1"/>
    </xf>
    <xf numFmtId="0" fontId="1" fillId="0" borderId="14" xfId="0" applyFont="1" applyFill="1" applyBorder="1" applyAlignment="1" applyProtection="1">
      <alignment horizontal="right"/>
      <protection hidden="1"/>
    </xf>
    <xf numFmtId="0" fontId="1" fillId="0" borderId="15" xfId="0" applyFont="1" applyFill="1" applyBorder="1" applyAlignment="1" applyProtection="1">
      <alignment horizontal="center"/>
      <protection hidden="1"/>
    </xf>
    <xf numFmtId="0" fontId="13" fillId="10" borderId="15" xfId="0" applyFont="1" applyFill="1" applyBorder="1" applyAlignment="1" applyProtection="1">
      <alignment horizontal="center"/>
      <protection hidden="1"/>
    </xf>
    <xf numFmtId="0" fontId="1" fillId="0" borderId="0" xfId="0" applyFont="1" applyFill="1" applyProtection="1">
      <protection hidden="1"/>
    </xf>
    <xf numFmtId="0" fontId="7" fillId="2" borderId="0" xfId="0" applyFont="1" applyFill="1" applyBorder="1" applyAlignment="1" applyProtection="1">
      <alignment horizontal="center"/>
      <protection locked="0" hidden="1"/>
    </xf>
    <xf numFmtId="0" fontId="29" fillId="0" borderId="0" xfId="0" applyFont="1" applyFill="1" applyBorder="1" applyAlignment="1" applyProtection="1">
      <protection hidden="1"/>
    </xf>
    <xf numFmtId="0" fontId="28" fillId="0" borderId="15" xfId="0" applyFont="1" applyFill="1" applyBorder="1" applyAlignment="1" applyProtection="1">
      <alignment horizontal="center"/>
      <protection hidden="1"/>
    </xf>
    <xf numFmtId="0" fontId="1" fillId="0" borderId="12" xfId="0" applyFont="1" applyFill="1" applyBorder="1" applyAlignment="1" applyProtection="1">
      <alignment horizontal="center"/>
      <protection hidden="1"/>
    </xf>
    <xf numFmtId="0" fontId="1" fillId="0" borderId="1" xfId="0" applyFont="1" applyFill="1" applyBorder="1" applyAlignment="1" applyProtection="1">
      <alignment horizontal="center"/>
      <protection hidden="1"/>
    </xf>
    <xf numFmtId="0" fontId="1" fillId="0" borderId="13" xfId="0" applyFont="1" applyFill="1" applyBorder="1" applyAlignment="1" applyProtection="1">
      <alignment horizontal="center"/>
      <protection hidden="1"/>
    </xf>
    <xf numFmtId="0" fontId="1" fillId="0" borderId="14" xfId="0" applyFont="1" applyFill="1" applyBorder="1" applyAlignment="1" applyProtection="1">
      <alignment horizontal="center"/>
      <protection hidden="1"/>
    </xf>
    <xf numFmtId="0" fontId="1" fillId="0" borderId="16" xfId="0" applyFont="1" applyFill="1" applyBorder="1" applyAlignment="1" applyProtection="1">
      <alignment horizontal="center"/>
      <protection hidden="1"/>
    </xf>
    <xf numFmtId="0" fontId="7" fillId="0" borderId="0" xfId="0" applyFont="1" applyBorder="1" applyAlignment="1" applyProtection="1">
      <alignment horizontal="center"/>
      <protection hidden="1"/>
    </xf>
    <xf numFmtId="0" fontId="1" fillId="0" borderId="16" xfId="0" applyFont="1" applyBorder="1" applyProtection="1">
      <protection hidden="1"/>
    </xf>
    <xf numFmtId="0" fontId="7" fillId="0" borderId="12" xfId="0" applyFont="1" applyBorder="1" applyProtection="1">
      <protection hidden="1"/>
    </xf>
    <xf numFmtId="0" fontId="7" fillId="0" borderId="1" xfId="0" applyFont="1" applyBorder="1" applyProtection="1">
      <protection hidden="1"/>
    </xf>
    <xf numFmtId="0" fontId="13" fillId="0" borderId="1" xfId="0" applyFont="1" applyFill="1" applyBorder="1" applyProtection="1">
      <protection hidden="1"/>
    </xf>
    <xf numFmtId="0" fontId="13" fillId="0" borderId="1" xfId="0" applyFont="1" applyBorder="1" applyAlignment="1" applyProtection="1">
      <alignment horizontal="center"/>
      <protection hidden="1"/>
    </xf>
    <xf numFmtId="0" fontId="13" fillId="0" borderId="0" xfId="0" applyFont="1" applyFill="1" applyBorder="1" applyProtection="1">
      <protection hidden="1"/>
    </xf>
    <xf numFmtId="0" fontId="13" fillId="0" borderId="0" xfId="0" applyFont="1" applyBorder="1" applyAlignment="1" applyProtection="1">
      <alignment horizontal="center"/>
      <protection hidden="1"/>
    </xf>
    <xf numFmtId="0" fontId="1" fillId="0" borderId="2" xfId="0" applyFont="1" applyBorder="1" applyAlignment="1" applyProtection="1">
      <alignment horizontal="right"/>
      <protection hidden="1"/>
    </xf>
    <xf numFmtId="0" fontId="1" fillId="0" borderId="14" xfId="0" applyFont="1" applyBorder="1" applyAlignment="1" applyProtection="1">
      <alignment horizontal="right"/>
      <protection hidden="1"/>
    </xf>
    <xf numFmtId="0" fontId="1" fillId="0" borderId="15" xfId="0" applyFont="1" applyBorder="1" applyAlignment="1" applyProtection="1">
      <alignment horizontal="center"/>
      <protection hidden="1"/>
    </xf>
    <xf numFmtId="0" fontId="28" fillId="0" borderId="0" xfId="0" applyFont="1" applyFill="1" applyBorder="1" applyAlignment="1" applyProtection="1">
      <alignment horizontal="left"/>
      <protection hidden="1"/>
    </xf>
    <xf numFmtId="0" fontId="1" fillId="0" borderId="14" xfId="0" applyFont="1" applyFill="1" applyBorder="1" applyAlignment="1" applyProtection="1">
      <alignment horizontal="center" vertical="center"/>
      <protection hidden="1"/>
    </xf>
    <xf numFmtId="0" fontId="1" fillId="0" borderId="15" xfId="0" applyFont="1" applyFill="1" applyBorder="1" applyAlignment="1" applyProtection="1">
      <alignment horizontal="center" vertical="center"/>
      <protection hidden="1"/>
    </xf>
    <xf numFmtId="0" fontId="7" fillId="0" borderId="12" xfId="0" applyFont="1" applyFill="1" applyBorder="1" applyAlignment="1" applyProtection="1">
      <alignment horizontal="left"/>
      <protection hidden="1"/>
    </xf>
    <xf numFmtId="0" fontId="13" fillId="0" borderId="1" xfId="0" applyFont="1" applyFill="1" applyBorder="1" applyAlignment="1" applyProtection="1">
      <alignment horizontal="left"/>
      <protection hidden="1"/>
    </xf>
    <xf numFmtId="0" fontId="13" fillId="0" borderId="1" xfId="0" applyFont="1" applyFill="1" applyBorder="1" applyAlignment="1" applyProtection="1">
      <alignment horizontal="center" vertical="center"/>
      <protection hidden="1"/>
    </xf>
    <xf numFmtId="0" fontId="13" fillId="0" borderId="1" xfId="0" applyFont="1" applyFill="1" applyBorder="1" applyAlignment="1" applyProtection="1">
      <alignment horizontal="center"/>
      <protection hidden="1"/>
    </xf>
    <xf numFmtId="0" fontId="1" fillId="0" borderId="1" xfId="0" applyFont="1" applyBorder="1" applyProtection="1">
      <protection hidden="1"/>
    </xf>
    <xf numFmtId="0" fontId="7" fillId="2" borderId="0" xfId="0" applyNumberFormat="1" applyFont="1" applyFill="1" applyBorder="1" applyAlignment="1" applyProtection="1">
      <alignment horizontal="center"/>
      <protection locked="0" hidden="1"/>
    </xf>
    <xf numFmtId="0" fontId="29" fillId="0" borderId="0" xfId="0" applyFont="1" applyBorder="1" applyAlignment="1" applyProtection="1">
      <alignment horizontal="left"/>
      <protection hidden="1"/>
    </xf>
    <xf numFmtId="0" fontId="29" fillId="0" borderId="0" xfId="0" applyFont="1" applyBorder="1" applyAlignment="1" applyProtection="1">
      <alignment horizontal="center"/>
      <protection hidden="1"/>
    </xf>
    <xf numFmtId="0" fontId="28" fillId="0" borderId="0" xfId="0" applyFont="1" applyBorder="1" applyAlignment="1" applyProtection="1">
      <protection hidden="1"/>
    </xf>
    <xf numFmtId="0" fontId="28" fillId="0" borderId="0" xfId="0" applyNumberFormat="1" applyFont="1" applyFill="1" applyBorder="1" applyAlignment="1" applyProtection="1">
      <alignment horizontal="center" vertical="center"/>
      <protection hidden="1"/>
    </xf>
    <xf numFmtId="0" fontId="28" fillId="0" borderId="0" xfId="0" applyFont="1" applyAlignment="1" applyProtection="1">
      <alignment horizontal="center"/>
      <protection hidden="1"/>
    </xf>
    <xf numFmtId="0" fontId="27" fillId="0" borderId="0" xfId="0" applyFont="1" applyAlignment="1" applyProtection="1">
      <alignment horizontal="center"/>
      <protection hidden="1"/>
    </xf>
    <xf numFmtId="0" fontId="1" fillId="0" borderId="14" xfId="0" applyFont="1" applyBorder="1" applyProtection="1">
      <protection hidden="1"/>
    </xf>
    <xf numFmtId="0" fontId="1" fillId="0" borderId="15" xfId="0" applyFont="1" applyBorder="1" applyProtection="1">
      <protection hidden="1"/>
    </xf>
    <xf numFmtId="0" fontId="1" fillId="0" borderId="12" xfId="0" applyFont="1" applyBorder="1" applyProtection="1">
      <protection hidden="1"/>
    </xf>
    <xf numFmtId="0" fontId="1" fillId="0" borderId="13" xfId="0" applyFont="1" applyBorder="1" applyProtection="1">
      <protection hidden="1"/>
    </xf>
    <xf numFmtId="0" fontId="7" fillId="0" borderId="2" xfId="0" applyFont="1" applyBorder="1" applyAlignment="1" applyProtection="1">
      <alignment horizontal="left" vertical="top"/>
      <protection hidden="1"/>
    </xf>
    <xf numFmtId="0" fontId="7" fillId="0" borderId="0" xfId="0" applyFont="1" applyBorder="1" applyAlignment="1" applyProtection="1">
      <alignment horizontal="left" vertical="top"/>
      <protection hidden="1"/>
    </xf>
    <xf numFmtId="0" fontId="7" fillId="0" borderId="2" xfId="0" applyFont="1" applyBorder="1" applyAlignment="1" applyProtection="1">
      <alignment horizontal="center"/>
      <protection hidden="1"/>
    </xf>
    <xf numFmtId="0" fontId="7" fillId="0" borderId="2" xfId="0" applyFont="1" applyBorder="1" applyAlignment="1" applyProtection="1">
      <alignment horizontal="left"/>
      <protection hidden="1"/>
    </xf>
    <xf numFmtId="0" fontId="1" fillId="0" borderId="2" xfId="0" applyFont="1" applyBorder="1" applyAlignment="1" applyProtection="1">
      <alignment horizontal="center"/>
      <protection hidden="1"/>
    </xf>
    <xf numFmtId="0" fontId="7" fillId="0" borderId="0" xfId="0" applyFont="1" applyBorder="1" applyAlignment="1" applyProtection="1">
      <alignment horizontal="left"/>
      <protection hidden="1"/>
    </xf>
    <xf numFmtId="0" fontId="1" fillId="0" borderId="14" xfId="0" applyFont="1" applyBorder="1" applyAlignment="1" applyProtection="1">
      <protection hidden="1"/>
    </xf>
    <xf numFmtId="0" fontId="1" fillId="0" borderId="16" xfId="0" applyFont="1" applyBorder="1" applyAlignment="1" applyProtection="1">
      <protection hidden="1"/>
    </xf>
    <xf numFmtId="0" fontId="28" fillId="0" borderId="0" xfId="0" applyFont="1" applyFill="1" applyBorder="1" applyAlignment="1" applyProtection="1">
      <alignment horizontal="right" vertical="center"/>
      <protection hidden="1"/>
    </xf>
    <xf numFmtId="0" fontId="1" fillId="0" borderId="14" xfId="0" applyFont="1" applyBorder="1" applyAlignment="1" applyProtection="1">
      <alignment horizontal="center"/>
      <protection hidden="1"/>
    </xf>
    <xf numFmtId="0" fontId="28" fillId="0" borderId="15" xfId="0" applyFont="1" applyFill="1" applyBorder="1" applyAlignment="1" applyProtection="1">
      <protection hidden="1"/>
    </xf>
    <xf numFmtId="0" fontId="1" fillId="0" borderId="13" xfId="0" applyFont="1" applyFill="1" applyBorder="1" applyAlignment="1" applyProtection="1">
      <alignment horizontal="left"/>
      <protection hidden="1"/>
    </xf>
    <xf numFmtId="0" fontId="1" fillId="0" borderId="3" xfId="0" applyFont="1" applyFill="1" applyBorder="1" applyAlignment="1" applyProtection="1">
      <alignment horizontal="left"/>
      <protection hidden="1"/>
    </xf>
    <xf numFmtId="0" fontId="1" fillId="0" borderId="12" xfId="0" applyFont="1" applyBorder="1" applyAlignment="1" applyProtection="1">
      <protection hidden="1"/>
    </xf>
    <xf numFmtId="0" fontId="1" fillId="0" borderId="1" xfId="0" applyFont="1" applyBorder="1" applyAlignment="1" applyProtection="1">
      <protection hidden="1"/>
    </xf>
    <xf numFmtId="0" fontId="1" fillId="0" borderId="13" xfId="0" applyFont="1" applyBorder="1" applyAlignment="1" applyProtection="1">
      <protection hidden="1"/>
    </xf>
    <xf numFmtId="0" fontId="1" fillId="0" borderId="2" xfId="0" applyFont="1" applyBorder="1" applyAlignment="1" applyProtection="1">
      <protection hidden="1"/>
    </xf>
    <xf numFmtId="0" fontId="1" fillId="0" borderId="15" xfId="0" applyFont="1" applyBorder="1" applyAlignment="1" applyProtection="1">
      <protection hidden="1"/>
    </xf>
    <xf numFmtId="0" fontId="7" fillId="0" borderId="12" xfId="0" applyFont="1" applyBorder="1" applyAlignment="1" applyProtection="1">
      <alignment horizontal="left"/>
      <protection hidden="1"/>
    </xf>
    <xf numFmtId="0" fontId="1" fillId="0" borderId="1" xfId="0" applyFont="1" applyBorder="1" applyAlignment="1" applyProtection="1">
      <alignment horizontal="center"/>
      <protection hidden="1"/>
    </xf>
    <xf numFmtId="0" fontId="27" fillId="0" borderId="0" xfId="0" applyFont="1" applyFill="1" applyBorder="1" applyAlignment="1" applyProtection="1">
      <alignment horizontal="left" vertical="center"/>
      <protection hidden="1"/>
    </xf>
    <xf numFmtId="0" fontId="1" fillId="0" borderId="13" xfId="0" applyFont="1" applyFill="1" applyBorder="1" applyAlignment="1" applyProtection="1">
      <protection hidden="1"/>
    </xf>
    <xf numFmtId="0" fontId="1" fillId="0" borderId="3" xfId="0" applyFont="1" applyFill="1" applyBorder="1" applyAlignment="1" applyProtection="1">
      <protection hidden="1"/>
    </xf>
    <xf numFmtId="0" fontId="1" fillId="0" borderId="16" xfId="0" applyFont="1" applyFill="1" applyBorder="1" applyAlignment="1" applyProtection="1">
      <protection hidden="1"/>
    </xf>
    <xf numFmtId="0" fontId="27" fillId="0" borderId="0" xfId="0" applyFont="1" applyBorder="1" applyAlignment="1" applyProtection="1">
      <protection hidden="1"/>
    </xf>
    <xf numFmtId="0" fontId="1" fillId="0" borderId="2" xfId="0" applyFont="1" applyBorder="1" applyAlignment="1" applyProtection="1">
      <alignment horizontal="center" vertical="center"/>
      <protection hidden="1"/>
    </xf>
    <xf numFmtId="0" fontId="23" fillId="0" borderId="2" xfId="0" applyFont="1" applyBorder="1" applyAlignment="1" applyProtection="1">
      <alignment horizontal="center"/>
      <protection hidden="1"/>
    </xf>
    <xf numFmtId="0" fontId="23" fillId="0" borderId="0" xfId="0" applyFont="1" applyBorder="1" applyAlignment="1" applyProtection="1">
      <alignment horizontal="center"/>
      <protection hidden="1"/>
    </xf>
    <xf numFmtId="0" fontId="28" fillId="0" borderId="0" xfId="0" applyFont="1" applyBorder="1" applyAlignment="1" applyProtection="1">
      <alignment horizontal="right"/>
      <protection hidden="1"/>
    </xf>
    <xf numFmtId="0" fontId="28" fillId="0" borderId="4" xfId="0" applyFont="1" applyBorder="1" applyProtection="1">
      <protection hidden="1"/>
    </xf>
    <xf numFmtId="0" fontId="28" fillId="0" borderId="0" xfId="0" applyFont="1" applyFill="1" applyBorder="1" applyAlignment="1" applyProtection="1">
      <alignment horizontal="right"/>
      <protection hidden="1"/>
    </xf>
    <xf numFmtId="0" fontId="28" fillId="0" borderId="0" xfId="0" applyFont="1" applyAlignment="1" applyProtection="1">
      <alignment horizontal="right"/>
      <protection hidden="1"/>
    </xf>
    <xf numFmtId="0" fontId="1" fillId="0" borderId="16" xfId="0" applyFont="1" applyFill="1" applyBorder="1" applyAlignment="1" applyProtection="1">
      <alignment horizontal="left"/>
      <protection hidden="1"/>
    </xf>
    <xf numFmtId="0" fontId="1" fillId="0" borderId="2" xfId="0" applyFont="1" applyBorder="1" applyAlignment="1" applyProtection="1">
      <alignment horizontal="left" vertical="center"/>
      <protection hidden="1"/>
    </xf>
    <xf numFmtId="0" fontId="27" fillId="0" borderId="0" xfId="0" applyFont="1" applyBorder="1" applyProtection="1">
      <protection hidden="1"/>
    </xf>
    <xf numFmtId="0" fontId="28" fillId="0" borderId="0" xfId="0" applyFont="1" applyFill="1" applyAlignment="1" applyProtection="1">
      <alignment horizontal="right"/>
      <protection hidden="1"/>
    </xf>
    <xf numFmtId="0" fontId="27" fillId="0" borderId="0" xfId="0" applyFont="1" applyFill="1" applyBorder="1" applyAlignment="1" applyProtection="1">
      <alignment horizontal="center" vertical="center"/>
      <protection hidden="1"/>
    </xf>
    <xf numFmtId="0" fontId="28" fillId="0" borderId="0" xfId="0" applyFont="1" applyFill="1" applyBorder="1" applyAlignment="1" applyProtection="1">
      <alignment horizontal="center"/>
      <protection hidden="1"/>
    </xf>
    <xf numFmtId="0" fontId="1" fillId="9" borderId="0" xfId="0" applyFont="1" applyFill="1" applyBorder="1" applyAlignment="1" applyProtection="1">
      <alignment horizontal="right"/>
      <protection hidden="1"/>
    </xf>
    <xf numFmtId="0" fontId="0" fillId="9" borderId="0" xfId="0" applyFill="1" applyBorder="1" applyAlignment="1" applyProtection="1">
      <alignment horizontal="right"/>
      <protection hidden="1"/>
    </xf>
    <xf numFmtId="0" fontId="7" fillId="2" borderId="2" xfId="0" applyFont="1" applyFill="1" applyBorder="1" applyAlignment="1" applyProtection="1">
      <alignment horizontal="left"/>
      <protection hidden="1"/>
    </xf>
    <xf numFmtId="0" fontId="7" fillId="2" borderId="3" xfId="0" applyFont="1" applyFill="1" applyBorder="1" applyAlignment="1" applyProtection="1">
      <alignment horizontal="left"/>
      <protection hidden="1"/>
    </xf>
    <xf numFmtId="0" fontId="2" fillId="2" borderId="2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Border="1" applyAlignment="1" applyProtection="1">
      <alignment horizontal="center" vertical="center"/>
      <protection hidden="1"/>
    </xf>
    <xf numFmtId="0" fontId="27" fillId="0" borderId="0" xfId="0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Border="1" applyAlignment="1" applyProtection="1">
      <alignment horizontal="left"/>
      <protection hidden="1"/>
    </xf>
    <xf numFmtId="0" fontId="1" fillId="9" borderId="0" xfId="0" applyFont="1" applyFill="1" applyAlignment="1" applyProtection="1">
      <alignment horizontal="right"/>
      <protection hidden="1"/>
    </xf>
    <xf numFmtId="0" fontId="0" fillId="9" borderId="0" xfId="0" applyFill="1" applyAlignment="1" applyProtection="1">
      <alignment horizontal="right"/>
      <protection hidden="1"/>
    </xf>
    <xf numFmtId="0" fontId="13" fillId="10" borderId="15" xfId="0" applyFont="1" applyFill="1" applyBorder="1" applyAlignment="1" applyProtection="1">
      <alignment horizontal="right"/>
      <protection hidden="1"/>
    </xf>
    <xf numFmtId="0" fontId="0" fillId="10" borderId="15" xfId="0" applyFill="1" applyBorder="1" applyAlignment="1" applyProtection="1">
      <alignment horizontal="right"/>
      <protection hidden="1"/>
    </xf>
    <xf numFmtId="0" fontId="28" fillId="0" borderId="0" xfId="0" applyFont="1" applyFill="1" applyBorder="1" applyAlignment="1" applyProtection="1">
      <alignment horizontal="center"/>
      <protection hidden="1"/>
    </xf>
    <xf numFmtId="0" fontId="1" fillId="0" borderId="0" xfId="0" applyFont="1" applyFill="1" applyBorder="1" applyAlignment="1" applyProtection="1">
      <protection hidden="1"/>
    </xf>
    <xf numFmtId="0" fontId="1" fillId="9" borderId="0" xfId="0" applyFont="1" applyFill="1" applyBorder="1" applyAlignment="1" applyProtection="1">
      <alignment horizontal="right"/>
      <protection hidden="1"/>
    </xf>
    <xf numFmtId="0" fontId="0" fillId="9" borderId="0" xfId="0" applyFill="1" applyBorder="1" applyAlignment="1" applyProtection="1">
      <alignment horizontal="right"/>
      <protection hidden="1"/>
    </xf>
    <xf numFmtId="0" fontId="1" fillId="0" borderId="0" xfId="0" applyFont="1" applyBorder="1" applyAlignment="1" applyProtection="1">
      <alignment horizontal="left" vertical="center"/>
      <protection hidden="1"/>
    </xf>
    <xf numFmtId="0" fontId="1" fillId="0" borderId="0" xfId="0" applyFont="1" applyBorder="1" applyAlignment="1" applyProtection="1">
      <alignment horizontal="left"/>
      <protection hidden="1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colors>
    <mruColors>
      <color rgb="FFFF9933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CH" b="1">
                <a:solidFill>
                  <a:srgbClr val="FF0000"/>
                </a:solidFill>
              </a:rPr>
              <a:t>FALL</a:t>
            </a:r>
            <a:r>
              <a:rPr lang="de-CH" b="1" baseline="0">
                <a:solidFill>
                  <a:srgbClr val="FF0000"/>
                </a:solidFill>
              </a:rPr>
              <a:t> 1: FUNKTION Y =A+B*x</a:t>
            </a:r>
            <a:endParaRPr lang="de-CH" b="1">
              <a:solidFill>
                <a:srgbClr val="FF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3.5455927225352277E-2"/>
          <c:y val="9.3097389558232935E-2"/>
          <c:w val="0.8882015473755186"/>
          <c:h val="0.82187470353856373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'FALL 1'!$D$6:$D$45</c:f>
              <c:numCache>
                <c:formatCode>General</c:formatCode>
                <c:ptCount val="40"/>
                <c:pt idx="0">
                  <c:v>8</c:v>
                </c:pt>
                <c:pt idx="1">
                  <c:v>7</c:v>
                </c:pt>
                <c:pt idx="2">
                  <c:v>4</c:v>
                </c:pt>
                <c:pt idx="3">
                  <c:v>2.5</c:v>
                </c:pt>
                <c:pt idx="4">
                  <c:v>4.5</c:v>
                </c:pt>
                <c:pt idx="5">
                  <c:v>10</c:v>
                </c:pt>
                <c:pt idx="6">
                  <c:v>12</c:v>
                </c:pt>
                <c:pt idx="7">
                  <c:v>15</c:v>
                </c:pt>
                <c:pt idx="8">
                  <c:v>1.5</c:v>
                </c:pt>
                <c:pt idx="9">
                  <c:v>14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xVal>
          <c:yVal>
            <c:numRef>
              <c:f>'FALL 1'!$E$6:$E$45</c:f>
              <c:numCache>
                <c:formatCode>General</c:formatCode>
                <c:ptCount val="40"/>
                <c:pt idx="0">
                  <c:v>64</c:v>
                </c:pt>
                <c:pt idx="1">
                  <c:v>49</c:v>
                </c:pt>
                <c:pt idx="2">
                  <c:v>16</c:v>
                </c:pt>
                <c:pt idx="3">
                  <c:v>6.25</c:v>
                </c:pt>
                <c:pt idx="4">
                  <c:v>20.25</c:v>
                </c:pt>
                <c:pt idx="5">
                  <c:v>100</c:v>
                </c:pt>
                <c:pt idx="6">
                  <c:v>144</c:v>
                </c:pt>
                <c:pt idx="7">
                  <c:v>225</c:v>
                </c:pt>
                <c:pt idx="8">
                  <c:v>2.25</c:v>
                </c:pt>
                <c:pt idx="9">
                  <c:v>196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filteredSeriesTitle>
                <c15:tx>
                  <c:v>Messwerte</c:v>
                </c15:tx>
              </c15:filteredSeriesTitle>
            </c:ext>
            <c:ext xmlns:c16="http://schemas.microsoft.com/office/drawing/2014/chart" uri="{C3380CC4-5D6E-409C-BE32-E72D297353CC}">
              <c16:uniqueId val="{00000000-161F-4308-926B-436C67BF63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3075104"/>
        <c:axId val="383067264"/>
      </c:scatterChart>
      <c:scatterChart>
        <c:scatterStyle val="smoothMarker"/>
        <c:varyColors val="0"/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'FALL 1'!$D$6:$D$45</c:f>
              <c:numCache>
                <c:formatCode>General</c:formatCode>
                <c:ptCount val="40"/>
                <c:pt idx="0">
                  <c:v>8</c:v>
                </c:pt>
                <c:pt idx="1">
                  <c:v>7</c:v>
                </c:pt>
                <c:pt idx="2">
                  <c:v>4</c:v>
                </c:pt>
                <c:pt idx="3">
                  <c:v>2.5</c:v>
                </c:pt>
                <c:pt idx="4">
                  <c:v>4.5</c:v>
                </c:pt>
                <c:pt idx="5">
                  <c:v>10</c:v>
                </c:pt>
                <c:pt idx="6">
                  <c:v>12</c:v>
                </c:pt>
                <c:pt idx="7">
                  <c:v>15</c:v>
                </c:pt>
                <c:pt idx="8">
                  <c:v>1.5</c:v>
                </c:pt>
                <c:pt idx="9">
                  <c:v>14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xVal>
          <c:yVal>
            <c:numRef>
              <c:f>'FALL 1'!$F$6:$F$45</c:f>
              <c:numCache>
                <c:formatCode>General</c:formatCode>
                <c:ptCount val="40"/>
                <c:pt idx="0">
                  <c:v>84.757171999999997</c:v>
                </c:pt>
                <c:pt idx="1">
                  <c:v>68.209356999999997</c:v>
                </c:pt>
                <c:pt idx="2">
                  <c:v>18.565911999999997</c:v>
                </c:pt>
                <c:pt idx="3">
                  <c:v>-6.2558105000000026</c:v>
                </c:pt>
                <c:pt idx="4">
                  <c:v>26.839819500000004</c:v>
                </c:pt>
                <c:pt idx="5">
                  <c:v>117.852802</c:v>
                </c:pt>
                <c:pt idx="6">
                  <c:v>150.948432</c:v>
                </c:pt>
                <c:pt idx="7">
                  <c:v>200.59187699999998</c:v>
                </c:pt>
                <c:pt idx="8">
                  <c:v>-22.803625500000003</c:v>
                </c:pt>
                <c:pt idx="9">
                  <c:v>184.044062</c:v>
                </c:pt>
                <c:pt idx="10">
                  <c:v>-47.625348000000002</c:v>
                </c:pt>
                <c:pt idx="11">
                  <c:v>-47.625348000000002</c:v>
                </c:pt>
                <c:pt idx="12">
                  <c:v>-47.625348000000002</c:v>
                </c:pt>
                <c:pt idx="13">
                  <c:v>-47.625348000000002</c:v>
                </c:pt>
                <c:pt idx="14">
                  <c:v>-47.625348000000002</c:v>
                </c:pt>
                <c:pt idx="15">
                  <c:v>-47.625348000000002</c:v>
                </c:pt>
                <c:pt idx="16">
                  <c:v>-47.625348000000002</c:v>
                </c:pt>
                <c:pt idx="17">
                  <c:v>-47.625348000000002</c:v>
                </c:pt>
                <c:pt idx="18">
                  <c:v>-47.625348000000002</c:v>
                </c:pt>
                <c:pt idx="19">
                  <c:v>-47.625348000000002</c:v>
                </c:pt>
                <c:pt idx="20">
                  <c:v>-47.625348000000002</c:v>
                </c:pt>
                <c:pt idx="21">
                  <c:v>-47.625348000000002</c:v>
                </c:pt>
                <c:pt idx="22">
                  <c:v>-47.625348000000002</c:v>
                </c:pt>
                <c:pt idx="23">
                  <c:v>-47.625348000000002</c:v>
                </c:pt>
                <c:pt idx="24">
                  <c:v>-47.625348000000002</c:v>
                </c:pt>
                <c:pt idx="25">
                  <c:v>-47.625348000000002</c:v>
                </c:pt>
                <c:pt idx="26">
                  <c:v>-47.625348000000002</c:v>
                </c:pt>
                <c:pt idx="27">
                  <c:v>-47.625348000000002</c:v>
                </c:pt>
                <c:pt idx="28">
                  <c:v>-47.625348000000002</c:v>
                </c:pt>
                <c:pt idx="29">
                  <c:v>-47.625348000000002</c:v>
                </c:pt>
                <c:pt idx="30">
                  <c:v>-47.625348000000002</c:v>
                </c:pt>
                <c:pt idx="31">
                  <c:v>-47.625348000000002</c:v>
                </c:pt>
                <c:pt idx="32">
                  <c:v>-47.625348000000002</c:v>
                </c:pt>
                <c:pt idx="33">
                  <c:v>-47.625348000000002</c:v>
                </c:pt>
                <c:pt idx="34">
                  <c:v>-47.625348000000002</c:v>
                </c:pt>
                <c:pt idx="35">
                  <c:v>-47.625348000000002</c:v>
                </c:pt>
                <c:pt idx="36">
                  <c:v>-47.625348000000002</c:v>
                </c:pt>
                <c:pt idx="37">
                  <c:v>-47.625348000000002</c:v>
                </c:pt>
                <c:pt idx="38">
                  <c:v>-47.625348000000002</c:v>
                </c:pt>
                <c:pt idx="39">
                  <c:v>-47.625348000000002</c:v>
                </c:pt>
              </c:numCache>
            </c:numRef>
          </c:yVal>
          <c:smooth val="1"/>
          <c:extLst>
            <c:ext xmlns:c15="http://schemas.microsoft.com/office/drawing/2012/chart" uri="{02D57815-91ED-43cb-92C2-25804820EDAC}">
              <c15:filteredSeriesTitle>
                <c15:tx>
                  <c:v>Funktionsgerade</c:v>
                </c15:tx>
              </c15:filteredSeriesTitle>
            </c:ext>
            <c:ext xmlns:c16="http://schemas.microsoft.com/office/drawing/2014/chart" uri="{C3380CC4-5D6E-409C-BE32-E72D297353CC}">
              <c16:uniqueId val="{00000001-161F-4308-926B-436C67BF63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3075104"/>
        <c:axId val="383067264"/>
      </c:scatterChart>
      <c:valAx>
        <c:axId val="3830751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83067264"/>
        <c:crosses val="autoZero"/>
        <c:crossBetween val="midCat"/>
      </c:valAx>
      <c:valAx>
        <c:axId val="383067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8307510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CH" b="1">
                <a:solidFill>
                  <a:srgbClr val="FF0000"/>
                </a:solidFill>
              </a:rPr>
              <a:t>FALL</a:t>
            </a:r>
            <a:r>
              <a:rPr lang="de-CH" b="1" baseline="0">
                <a:solidFill>
                  <a:srgbClr val="FF0000"/>
                </a:solidFill>
              </a:rPr>
              <a:t> 2: FUNKTION Y = A + B*lnIxI</a:t>
            </a:r>
            <a:endParaRPr lang="de-CH" b="1">
              <a:solidFill>
                <a:srgbClr val="FF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8.1882159589864348E-2"/>
          <c:y val="0.10905349794238685"/>
          <c:w val="0.93888888888888888"/>
          <c:h val="0.78992314782937045"/>
        </c:manualLayout>
      </c:layout>
      <c:scatterChart>
        <c:scatterStyle val="lineMarker"/>
        <c:varyColors val="0"/>
        <c:ser>
          <c:idx val="0"/>
          <c:order val="0"/>
          <c:tx>
            <c:v>Messwerte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'FALL 2'!$D$6:$D$45</c:f>
              <c:numCache>
                <c:formatCode>General</c:formatCode>
                <c:ptCount val="40"/>
                <c:pt idx="0">
                  <c:v>2.0794415429298359</c:v>
                </c:pt>
                <c:pt idx="1">
                  <c:v>1.9459101504838847</c:v>
                </c:pt>
                <c:pt idx="2">
                  <c:v>1.3862943611198906</c:v>
                </c:pt>
                <c:pt idx="3">
                  <c:v>0.91629073187415511</c:v>
                </c:pt>
                <c:pt idx="4">
                  <c:v>1.5040773967762742</c:v>
                </c:pt>
                <c:pt idx="5">
                  <c:v>2.3025850929940459</c:v>
                </c:pt>
                <c:pt idx="6">
                  <c:v>2.4849066497880004</c:v>
                </c:pt>
                <c:pt idx="7">
                  <c:v>2.7080502011022101</c:v>
                </c:pt>
                <c:pt idx="8">
                  <c:v>0.40546510810816438</c:v>
                </c:pt>
                <c:pt idx="9">
                  <c:v>2.6390573296152584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xVal>
          <c:yVal>
            <c:numRef>
              <c:f>'FALL 2'!$E$6:$E$45</c:f>
              <c:numCache>
                <c:formatCode>General</c:formatCode>
                <c:ptCount val="40"/>
                <c:pt idx="0">
                  <c:v>64</c:v>
                </c:pt>
                <c:pt idx="1">
                  <c:v>49</c:v>
                </c:pt>
                <c:pt idx="2">
                  <c:v>16</c:v>
                </c:pt>
                <c:pt idx="3">
                  <c:v>6.25</c:v>
                </c:pt>
                <c:pt idx="4">
                  <c:v>20.25</c:v>
                </c:pt>
                <c:pt idx="5">
                  <c:v>100</c:v>
                </c:pt>
                <c:pt idx="6">
                  <c:v>144</c:v>
                </c:pt>
                <c:pt idx="7">
                  <c:v>225</c:v>
                </c:pt>
                <c:pt idx="8">
                  <c:v>2.25</c:v>
                </c:pt>
                <c:pt idx="9">
                  <c:v>196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D09-4FA3-8E8A-040B94C87A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3075888"/>
        <c:axId val="383077064"/>
      </c:scatterChart>
      <c:scatterChart>
        <c:scatterStyle val="smoothMarker"/>
        <c:varyColors val="0"/>
        <c:ser>
          <c:idx val="1"/>
          <c:order val="1"/>
          <c:tx>
            <c:v>Funktionsgerade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'FALL 2'!$D$6:$D$45</c:f>
              <c:numCache>
                <c:formatCode>General</c:formatCode>
                <c:ptCount val="40"/>
                <c:pt idx="0">
                  <c:v>2.0794415429298359</c:v>
                </c:pt>
                <c:pt idx="1">
                  <c:v>1.9459101504838847</c:v>
                </c:pt>
                <c:pt idx="2">
                  <c:v>1.3862943611198906</c:v>
                </c:pt>
                <c:pt idx="3">
                  <c:v>0.91629073187415511</c:v>
                </c:pt>
                <c:pt idx="4">
                  <c:v>1.5040773967762742</c:v>
                </c:pt>
                <c:pt idx="5">
                  <c:v>2.3025850929940459</c:v>
                </c:pt>
                <c:pt idx="6">
                  <c:v>2.4849066497880004</c:v>
                </c:pt>
                <c:pt idx="7">
                  <c:v>2.7080502011022101</c:v>
                </c:pt>
                <c:pt idx="8">
                  <c:v>0.40546510810816438</c:v>
                </c:pt>
                <c:pt idx="9">
                  <c:v>2.6390573296152584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xVal>
          <c:yVal>
            <c:numRef>
              <c:f>'FALL 2'!$F$6:$F$45</c:f>
              <c:numCache>
                <c:formatCode>General</c:formatCode>
                <c:ptCount val="40"/>
                <c:pt idx="0">
                  <c:v>104.62164358381125</c:v>
                </c:pt>
                <c:pt idx="1">
                  <c:v>92.303049484702541</c:v>
                </c:pt>
                <c:pt idx="2">
                  <c:v>40.677138645663817</c:v>
                </c:pt>
                <c:pt idx="3">
                  <c:v>-2.6818335610380615</c:v>
                </c:pt>
                <c:pt idx="4">
                  <c:v>51.54290871991148</c:v>
                </c:pt>
                <c:pt idx="5">
                  <c:v>125.20717608462579</c:v>
                </c:pt>
                <c:pt idx="6">
                  <c:v>142.02678091703552</c:v>
                </c:pt>
                <c:pt idx="7">
                  <c:v>162.61231353316555</c:v>
                </c:pt>
                <c:pt idx="8">
                  <c:v>-49.806733551460212</c:v>
                </c:pt>
                <c:pt idx="9">
                  <c:v>156.24755417574525</c:v>
                </c:pt>
                <c:pt idx="10">
                  <c:v>-87.211871000000002</c:v>
                </c:pt>
                <c:pt idx="11">
                  <c:v>-87.211871000000002</c:v>
                </c:pt>
                <c:pt idx="12">
                  <c:v>-87.211871000000002</c:v>
                </c:pt>
                <c:pt idx="13">
                  <c:v>-87.211871000000002</c:v>
                </c:pt>
                <c:pt idx="14">
                  <c:v>-87.211871000000002</c:v>
                </c:pt>
                <c:pt idx="15">
                  <c:v>-87.211871000000002</c:v>
                </c:pt>
                <c:pt idx="16">
                  <c:v>-87.211871000000002</c:v>
                </c:pt>
                <c:pt idx="17">
                  <c:v>-87.211871000000002</c:v>
                </c:pt>
                <c:pt idx="18">
                  <c:v>-87.211871000000002</c:v>
                </c:pt>
                <c:pt idx="19">
                  <c:v>-87.211871000000002</c:v>
                </c:pt>
                <c:pt idx="20">
                  <c:v>-87.211871000000002</c:v>
                </c:pt>
                <c:pt idx="21">
                  <c:v>-87.211871000000002</c:v>
                </c:pt>
                <c:pt idx="22">
                  <c:v>-87.211871000000002</c:v>
                </c:pt>
                <c:pt idx="23">
                  <c:v>-87.211871000000002</c:v>
                </c:pt>
                <c:pt idx="24">
                  <c:v>-87.211871000000002</c:v>
                </c:pt>
                <c:pt idx="25">
                  <c:v>-87.211871000000002</c:v>
                </c:pt>
                <c:pt idx="26">
                  <c:v>-87.211871000000002</c:v>
                </c:pt>
                <c:pt idx="27">
                  <c:v>-87.211871000000002</c:v>
                </c:pt>
                <c:pt idx="28">
                  <c:v>-87.211871000000002</c:v>
                </c:pt>
                <c:pt idx="29">
                  <c:v>-87.211871000000002</c:v>
                </c:pt>
                <c:pt idx="30">
                  <c:v>-87.211871000000002</c:v>
                </c:pt>
                <c:pt idx="31">
                  <c:v>-87.211871000000002</c:v>
                </c:pt>
                <c:pt idx="32">
                  <c:v>-87.211871000000002</c:v>
                </c:pt>
                <c:pt idx="33">
                  <c:v>-87.211871000000002</c:v>
                </c:pt>
                <c:pt idx="34">
                  <c:v>-87.211871000000002</c:v>
                </c:pt>
                <c:pt idx="35">
                  <c:v>-87.211871000000002</c:v>
                </c:pt>
                <c:pt idx="36">
                  <c:v>-87.211871000000002</c:v>
                </c:pt>
                <c:pt idx="37">
                  <c:v>-87.211871000000002</c:v>
                </c:pt>
                <c:pt idx="38">
                  <c:v>-87.211871000000002</c:v>
                </c:pt>
                <c:pt idx="39">
                  <c:v>-87.211871000000002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D09-4FA3-8E8A-040B94C87A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3075888"/>
        <c:axId val="383077064"/>
      </c:scatterChart>
      <c:valAx>
        <c:axId val="3830758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83077064"/>
        <c:crosses val="autoZero"/>
        <c:crossBetween val="midCat"/>
      </c:valAx>
      <c:valAx>
        <c:axId val="383077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8307588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rgbClr val="FF0000"/>
                </a:solidFill>
              </a:rPr>
              <a:t>FALL</a:t>
            </a:r>
            <a:r>
              <a:rPr lang="en-US" b="1" baseline="0">
                <a:solidFill>
                  <a:srgbClr val="FF0000"/>
                </a:solidFill>
              </a:rPr>
              <a:t> 5: Y = A+B*[lnIlnIxII]</a:t>
            </a:r>
            <a:endParaRPr lang="en-US" b="1">
              <a:solidFill>
                <a:srgbClr val="FF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3.2097384378676805E-2"/>
          <c:y val="9.9482469486800756E-2"/>
          <c:w val="0.90349300087489059"/>
          <c:h val="0.73582732694379338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'FALL 5'!$D$6:$D$45</c:f>
              <c:numCache>
                <c:formatCode>General</c:formatCode>
                <c:ptCount val="40"/>
                <c:pt idx="0">
                  <c:v>0.73210537926014541</c:v>
                </c:pt>
                <c:pt idx="1">
                  <c:v>0.66573715190378169</c:v>
                </c:pt>
                <c:pt idx="2">
                  <c:v>0.32665229327827383</c:v>
                </c:pt>
                <c:pt idx="3">
                  <c:v>-8.7377919349881192E-2</c:v>
                </c:pt>
                <c:pt idx="4">
                  <c:v>0.40819445920621489</c:v>
                </c:pt>
                <c:pt idx="5">
                  <c:v>0.83403678816162974</c:v>
                </c:pt>
                <c:pt idx="6">
                  <c:v>0.91023844692576605</c:v>
                </c:pt>
                <c:pt idx="7">
                  <c:v>0.99623135473597912</c:v>
                </c:pt>
                <c:pt idx="8">
                  <c:v>-0.90255605448210952</c:v>
                </c:pt>
                <c:pt idx="9">
                  <c:v>0.97042448785819069</c:v>
                </c:pt>
                <c:pt idx="10">
                  <c:v>3.6786590822442982E-5</c:v>
                </c:pt>
                <c:pt idx="11">
                  <c:v>3.6786590822442982E-5</c:v>
                </c:pt>
                <c:pt idx="12">
                  <c:v>3.6786590822442982E-5</c:v>
                </c:pt>
                <c:pt idx="13">
                  <c:v>3.6786590822442982E-5</c:v>
                </c:pt>
                <c:pt idx="14">
                  <c:v>3.6786590822442982E-5</c:v>
                </c:pt>
                <c:pt idx="15">
                  <c:v>3.6786590822442982E-5</c:v>
                </c:pt>
                <c:pt idx="16">
                  <c:v>3.6786590822442982E-5</c:v>
                </c:pt>
                <c:pt idx="17">
                  <c:v>3.6786590822442982E-5</c:v>
                </c:pt>
                <c:pt idx="18">
                  <c:v>3.6786590822442982E-5</c:v>
                </c:pt>
                <c:pt idx="19">
                  <c:v>3.6786590822442982E-5</c:v>
                </c:pt>
                <c:pt idx="20">
                  <c:v>3.6786590822442982E-5</c:v>
                </c:pt>
                <c:pt idx="21">
                  <c:v>3.6786590822442982E-5</c:v>
                </c:pt>
                <c:pt idx="22">
                  <c:v>3.6786590822442982E-5</c:v>
                </c:pt>
                <c:pt idx="23">
                  <c:v>3.6786590822442982E-5</c:v>
                </c:pt>
                <c:pt idx="24">
                  <c:v>3.6786590822442982E-5</c:v>
                </c:pt>
                <c:pt idx="25">
                  <c:v>3.6786590822442982E-5</c:v>
                </c:pt>
                <c:pt idx="26">
                  <c:v>3.6786590822442982E-5</c:v>
                </c:pt>
                <c:pt idx="27">
                  <c:v>3.6786590822442982E-5</c:v>
                </c:pt>
                <c:pt idx="28">
                  <c:v>3.6786590822442982E-5</c:v>
                </c:pt>
                <c:pt idx="29">
                  <c:v>3.6786590822442982E-5</c:v>
                </c:pt>
                <c:pt idx="30">
                  <c:v>3.6786590822442982E-5</c:v>
                </c:pt>
                <c:pt idx="31">
                  <c:v>3.6786590822442982E-5</c:v>
                </c:pt>
                <c:pt idx="32">
                  <c:v>3.6786590822442982E-5</c:v>
                </c:pt>
                <c:pt idx="33">
                  <c:v>3.6786590822442982E-5</c:v>
                </c:pt>
                <c:pt idx="34">
                  <c:v>3.6786590822442982E-5</c:v>
                </c:pt>
                <c:pt idx="35">
                  <c:v>3.6786590822442982E-5</c:v>
                </c:pt>
                <c:pt idx="36">
                  <c:v>3.6786590822442982E-5</c:v>
                </c:pt>
                <c:pt idx="37">
                  <c:v>3.6786590822442982E-5</c:v>
                </c:pt>
                <c:pt idx="38">
                  <c:v>3.6786590822442982E-5</c:v>
                </c:pt>
                <c:pt idx="39">
                  <c:v>3.6786590822442982E-5</c:v>
                </c:pt>
              </c:numCache>
            </c:numRef>
          </c:xVal>
          <c:yVal>
            <c:numRef>
              <c:f>'FALL 5'!$E$6:$E$45</c:f>
              <c:numCache>
                <c:formatCode>General</c:formatCode>
                <c:ptCount val="40"/>
                <c:pt idx="0">
                  <c:v>64</c:v>
                </c:pt>
                <c:pt idx="1">
                  <c:v>49</c:v>
                </c:pt>
                <c:pt idx="2">
                  <c:v>16</c:v>
                </c:pt>
                <c:pt idx="3">
                  <c:v>6.25</c:v>
                </c:pt>
                <c:pt idx="4">
                  <c:v>20.25</c:v>
                </c:pt>
                <c:pt idx="5">
                  <c:v>100</c:v>
                </c:pt>
                <c:pt idx="6">
                  <c:v>144</c:v>
                </c:pt>
                <c:pt idx="7">
                  <c:v>225</c:v>
                </c:pt>
                <c:pt idx="8">
                  <c:v>2.25</c:v>
                </c:pt>
                <c:pt idx="9">
                  <c:v>196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847-4565-AF25-1BAB641834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3077848"/>
        <c:axId val="383066088"/>
      </c:scatterChart>
      <c:scatterChart>
        <c:scatterStyle val="smoothMarker"/>
        <c:varyColors val="0"/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'FALL 5'!$D$6:$D$45</c:f>
              <c:numCache>
                <c:formatCode>General</c:formatCode>
                <c:ptCount val="40"/>
                <c:pt idx="0">
                  <c:v>0.73210537926014541</c:v>
                </c:pt>
                <c:pt idx="1">
                  <c:v>0.66573715190378169</c:v>
                </c:pt>
                <c:pt idx="2">
                  <c:v>0.32665229327827383</c:v>
                </c:pt>
                <c:pt idx="3">
                  <c:v>-8.7377919349881192E-2</c:v>
                </c:pt>
                <c:pt idx="4">
                  <c:v>0.40819445920621489</c:v>
                </c:pt>
                <c:pt idx="5">
                  <c:v>0.83403678816162974</c:v>
                </c:pt>
                <c:pt idx="6">
                  <c:v>0.91023844692576605</c:v>
                </c:pt>
                <c:pt idx="7">
                  <c:v>0.99623135473597912</c:v>
                </c:pt>
                <c:pt idx="8">
                  <c:v>-0.90255605448210952</c:v>
                </c:pt>
                <c:pt idx="9">
                  <c:v>0.97042448785819069</c:v>
                </c:pt>
                <c:pt idx="10">
                  <c:v>3.6786590822442982E-5</c:v>
                </c:pt>
                <c:pt idx="11">
                  <c:v>3.6786590822442982E-5</c:v>
                </c:pt>
                <c:pt idx="12">
                  <c:v>3.6786590822442982E-5</c:v>
                </c:pt>
                <c:pt idx="13">
                  <c:v>3.6786590822442982E-5</c:v>
                </c:pt>
                <c:pt idx="14">
                  <c:v>3.6786590822442982E-5</c:v>
                </c:pt>
                <c:pt idx="15">
                  <c:v>3.6786590822442982E-5</c:v>
                </c:pt>
                <c:pt idx="16">
                  <c:v>3.6786590822442982E-5</c:v>
                </c:pt>
                <c:pt idx="17">
                  <c:v>3.6786590822442982E-5</c:v>
                </c:pt>
                <c:pt idx="18">
                  <c:v>3.6786590822442982E-5</c:v>
                </c:pt>
                <c:pt idx="19">
                  <c:v>3.6786590822442982E-5</c:v>
                </c:pt>
                <c:pt idx="20">
                  <c:v>3.6786590822442982E-5</c:v>
                </c:pt>
                <c:pt idx="21">
                  <c:v>3.6786590822442982E-5</c:v>
                </c:pt>
                <c:pt idx="22">
                  <c:v>3.6786590822442982E-5</c:v>
                </c:pt>
                <c:pt idx="23">
                  <c:v>3.6786590822442982E-5</c:v>
                </c:pt>
                <c:pt idx="24">
                  <c:v>3.6786590822442982E-5</c:v>
                </c:pt>
                <c:pt idx="25">
                  <c:v>3.6786590822442982E-5</c:v>
                </c:pt>
                <c:pt idx="26">
                  <c:v>3.6786590822442982E-5</c:v>
                </c:pt>
                <c:pt idx="27">
                  <c:v>3.6786590822442982E-5</c:v>
                </c:pt>
                <c:pt idx="28">
                  <c:v>3.6786590822442982E-5</c:v>
                </c:pt>
                <c:pt idx="29">
                  <c:v>3.6786590822442982E-5</c:v>
                </c:pt>
                <c:pt idx="30">
                  <c:v>3.6786590822442982E-5</c:v>
                </c:pt>
                <c:pt idx="31">
                  <c:v>3.6786590822442982E-5</c:v>
                </c:pt>
                <c:pt idx="32">
                  <c:v>3.6786590822442982E-5</c:v>
                </c:pt>
                <c:pt idx="33">
                  <c:v>3.6786590822442982E-5</c:v>
                </c:pt>
                <c:pt idx="34">
                  <c:v>3.6786590822442982E-5</c:v>
                </c:pt>
                <c:pt idx="35">
                  <c:v>3.6786590822442982E-5</c:v>
                </c:pt>
                <c:pt idx="36">
                  <c:v>3.6786590822442982E-5</c:v>
                </c:pt>
                <c:pt idx="37">
                  <c:v>3.6786590822442982E-5</c:v>
                </c:pt>
                <c:pt idx="38">
                  <c:v>3.6786590822442982E-5</c:v>
                </c:pt>
                <c:pt idx="39">
                  <c:v>3.6786590822442982E-5</c:v>
                </c:pt>
              </c:numCache>
            </c:numRef>
          </c:xVal>
          <c:yVal>
            <c:numRef>
              <c:f>'FALL 5'!$F$6:$F$45</c:f>
              <c:numCache>
                <c:formatCode>General</c:formatCode>
                <c:ptCount val="40"/>
                <c:pt idx="0">
                  <c:v>107.10559865239537</c:v>
                </c:pt>
                <c:pt idx="1">
                  <c:v>100.42300785622822</c:v>
                </c:pt>
                <c:pt idx="2">
                  <c:v>66.280686362490428</c:v>
                </c:pt>
                <c:pt idx="3">
                  <c:v>24.592146552804845</c:v>
                </c:pt>
                <c:pt idx="4">
                  <c:v>74.491135085245773</c:v>
                </c:pt>
                <c:pt idx="5">
                  <c:v>117.36903225757354</c:v>
                </c:pt>
                <c:pt idx="6">
                  <c:v>125.04174740748419</c:v>
                </c:pt>
                <c:pt idx="7">
                  <c:v>133.7003395856747</c:v>
                </c:pt>
                <c:pt idx="8">
                  <c:v>-57.487820323830256</c:v>
                </c:pt>
                <c:pt idx="9">
                  <c:v>131.10185627604199</c:v>
                </c:pt>
                <c:pt idx="10">
                  <c:v>33.393899027409567</c:v>
                </c:pt>
                <c:pt idx="11">
                  <c:v>33.393899027409567</c:v>
                </c:pt>
                <c:pt idx="12">
                  <c:v>33.393899027409567</c:v>
                </c:pt>
                <c:pt idx="13">
                  <c:v>33.393899027409567</c:v>
                </c:pt>
                <c:pt idx="14">
                  <c:v>33.393899027409567</c:v>
                </c:pt>
                <c:pt idx="15">
                  <c:v>33.393899027409567</c:v>
                </c:pt>
                <c:pt idx="16">
                  <c:v>33.393899027409567</c:v>
                </c:pt>
                <c:pt idx="17">
                  <c:v>33.393899027409567</c:v>
                </c:pt>
                <c:pt idx="18">
                  <c:v>33.393899027409567</c:v>
                </c:pt>
                <c:pt idx="19">
                  <c:v>33.393899027409567</c:v>
                </c:pt>
                <c:pt idx="20">
                  <c:v>33.393899027409567</c:v>
                </c:pt>
                <c:pt idx="21">
                  <c:v>33.393899027409567</c:v>
                </c:pt>
                <c:pt idx="22">
                  <c:v>33.393899027409567</c:v>
                </c:pt>
                <c:pt idx="23">
                  <c:v>33.393899027409567</c:v>
                </c:pt>
                <c:pt idx="24">
                  <c:v>33.393899027409567</c:v>
                </c:pt>
                <c:pt idx="25">
                  <c:v>33.393899027409567</c:v>
                </c:pt>
                <c:pt idx="26">
                  <c:v>33.393899027409567</c:v>
                </c:pt>
                <c:pt idx="27">
                  <c:v>33.393899027409567</c:v>
                </c:pt>
                <c:pt idx="28">
                  <c:v>33.393899027409567</c:v>
                </c:pt>
                <c:pt idx="29">
                  <c:v>33.393899027409567</c:v>
                </c:pt>
                <c:pt idx="30">
                  <c:v>33.393899027409567</c:v>
                </c:pt>
                <c:pt idx="31">
                  <c:v>33.393899027409567</c:v>
                </c:pt>
                <c:pt idx="32">
                  <c:v>33.393899027409567</c:v>
                </c:pt>
                <c:pt idx="33">
                  <c:v>33.393899027409567</c:v>
                </c:pt>
                <c:pt idx="34">
                  <c:v>33.393899027409567</c:v>
                </c:pt>
                <c:pt idx="35">
                  <c:v>33.393899027409567</c:v>
                </c:pt>
                <c:pt idx="36">
                  <c:v>33.393899027409567</c:v>
                </c:pt>
                <c:pt idx="37">
                  <c:v>33.393899027409567</c:v>
                </c:pt>
                <c:pt idx="38">
                  <c:v>33.393899027409567</c:v>
                </c:pt>
                <c:pt idx="39">
                  <c:v>33.393899027409567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847-4565-AF25-1BAB641834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3077848"/>
        <c:axId val="383066088"/>
      </c:scatterChart>
      <c:valAx>
        <c:axId val="383077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83066088"/>
        <c:crosses val="autoZero"/>
        <c:crossBetween val="midCat"/>
      </c:valAx>
      <c:valAx>
        <c:axId val="383066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8307784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4570676079283194"/>
          <c:y val="0.88333759055858496"/>
          <c:w val="0.50375417469101191"/>
          <c:h val="9.32842349930139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CH">
                <a:solidFill>
                  <a:srgbClr val="FF0000"/>
                </a:solidFill>
              </a:rPr>
              <a:t>FALL</a:t>
            </a:r>
            <a:r>
              <a:rPr lang="de-CH" baseline="0">
                <a:solidFill>
                  <a:srgbClr val="FF0000"/>
                </a:solidFill>
              </a:rPr>
              <a:t> 7: FUNKTION Y = A*e^(B*x) </a:t>
            </a:r>
            <a:endParaRPr lang="de-CH">
              <a:solidFill>
                <a:srgbClr val="FF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Messwerte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'FALL 7'!$D$6:$D$45</c:f>
              <c:numCache>
                <c:formatCode>General</c:formatCode>
                <c:ptCount val="40"/>
                <c:pt idx="0">
                  <c:v>8</c:v>
                </c:pt>
                <c:pt idx="1">
                  <c:v>7</c:v>
                </c:pt>
                <c:pt idx="2">
                  <c:v>4</c:v>
                </c:pt>
                <c:pt idx="3">
                  <c:v>2.5</c:v>
                </c:pt>
                <c:pt idx="4">
                  <c:v>4.5</c:v>
                </c:pt>
                <c:pt idx="5">
                  <c:v>10</c:v>
                </c:pt>
                <c:pt idx="6">
                  <c:v>12</c:v>
                </c:pt>
                <c:pt idx="7">
                  <c:v>15</c:v>
                </c:pt>
                <c:pt idx="8">
                  <c:v>1.5</c:v>
                </c:pt>
                <c:pt idx="9">
                  <c:v>14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xVal>
          <c:yVal>
            <c:numRef>
              <c:f>'FALL 7'!$E$6:$E$45</c:f>
              <c:numCache>
                <c:formatCode>General</c:formatCode>
                <c:ptCount val="40"/>
                <c:pt idx="0">
                  <c:v>4.1588830833596715</c:v>
                </c:pt>
                <c:pt idx="1">
                  <c:v>3.8918202981106265</c:v>
                </c:pt>
                <c:pt idx="2">
                  <c:v>2.7725887222397811</c:v>
                </c:pt>
                <c:pt idx="3">
                  <c:v>1.8325814637483102</c:v>
                </c:pt>
                <c:pt idx="4">
                  <c:v>3.0081547935525483</c:v>
                </c:pt>
                <c:pt idx="5">
                  <c:v>4.6051701859880918</c:v>
                </c:pt>
                <c:pt idx="6">
                  <c:v>4.9698132995760007</c:v>
                </c:pt>
                <c:pt idx="7">
                  <c:v>5.4161004022044201</c:v>
                </c:pt>
                <c:pt idx="8">
                  <c:v>0.81093021621632877</c:v>
                </c:pt>
                <c:pt idx="9">
                  <c:v>5.2781146592305168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E47-4E3D-8B0D-E4B9C23E25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3071576"/>
        <c:axId val="383076280"/>
      </c:scatterChart>
      <c:scatterChart>
        <c:scatterStyle val="smoothMarker"/>
        <c:varyColors val="0"/>
        <c:ser>
          <c:idx val="1"/>
          <c:order val="1"/>
          <c:tx>
            <c:v>Funktionsgerade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'FALL 7'!$D$6:$D$45</c:f>
              <c:numCache>
                <c:formatCode>General</c:formatCode>
                <c:ptCount val="40"/>
                <c:pt idx="0">
                  <c:v>8</c:v>
                </c:pt>
                <c:pt idx="1">
                  <c:v>7</c:v>
                </c:pt>
                <c:pt idx="2">
                  <c:v>4</c:v>
                </c:pt>
                <c:pt idx="3">
                  <c:v>2.5</c:v>
                </c:pt>
                <c:pt idx="4">
                  <c:v>4.5</c:v>
                </c:pt>
                <c:pt idx="5">
                  <c:v>10</c:v>
                </c:pt>
                <c:pt idx="6">
                  <c:v>12</c:v>
                </c:pt>
                <c:pt idx="7">
                  <c:v>15</c:v>
                </c:pt>
                <c:pt idx="8">
                  <c:v>1.5</c:v>
                </c:pt>
                <c:pt idx="9">
                  <c:v>14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xVal>
          <c:yVal>
            <c:numRef>
              <c:f>'FALL 7'!$F$6:$F$45</c:f>
              <c:numCache>
                <c:formatCode>General</c:formatCode>
                <c:ptCount val="40"/>
                <c:pt idx="0">
                  <c:v>3.7204065682100498</c:v>
                </c:pt>
                <c:pt idx="1">
                  <c:v>3.4138015680362397</c:v>
                </c:pt>
                <c:pt idx="2">
                  <c:v>2.4939865675148098</c:v>
                </c:pt>
                <c:pt idx="3">
                  <c:v>2.0340790672540949</c:v>
                </c:pt>
                <c:pt idx="4">
                  <c:v>2.6472890676017151</c:v>
                </c:pt>
                <c:pt idx="5">
                  <c:v>4.3336165685576704</c:v>
                </c:pt>
                <c:pt idx="6">
                  <c:v>4.9468265689052897</c:v>
                </c:pt>
                <c:pt idx="7">
                  <c:v>5.8666415694267204</c:v>
                </c:pt>
                <c:pt idx="8">
                  <c:v>1.7274740670802851</c:v>
                </c:pt>
                <c:pt idx="9">
                  <c:v>5.5600365692529099</c:v>
                </c:pt>
                <c:pt idx="10">
                  <c:v>1.2675665668195701</c:v>
                </c:pt>
                <c:pt idx="11">
                  <c:v>1.2675665668195701</c:v>
                </c:pt>
                <c:pt idx="12">
                  <c:v>1.2675665668195701</c:v>
                </c:pt>
                <c:pt idx="13">
                  <c:v>1.2675665668195701</c:v>
                </c:pt>
                <c:pt idx="14">
                  <c:v>1.2675665668195701</c:v>
                </c:pt>
                <c:pt idx="15">
                  <c:v>1.2675665668195701</c:v>
                </c:pt>
                <c:pt idx="16">
                  <c:v>1.2675665668195701</c:v>
                </c:pt>
                <c:pt idx="17">
                  <c:v>1.2675665668195701</c:v>
                </c:pt>
                <c:pt idx="18">
                  <c:v>1.2675665668195701</c:v>
                </c:pt>
                <c:pt idx="19">
                  <c:v>1.2675665668195701</c:v>
                </c:pt>
                <c:pt idx="20">
                  <c:v>1.2675665668195701</c:v>
                </c:pt>
                <c:pt idx="21">
                  <c:v>1.2675665668195701</c:v>
                </c:pt>
                <c:pt idx="22">
                  <c:v>1.2675665668195701</c:v>
                </c:pt>
                <c:pt idx="23">
                  <c:v>1.2675665668195701</c:v>
                </c:pt>
                <c:pt idx="24">
                  <c:v>1.2675665668195701</c:v>
                </c:pt>
                <c:pt idx="25">
                  <c:v>1.2675665668195701</c:v>
                </c:pt>
                <c:pt idx="26">
                  <c:v>1.2675665668195701</c:v>
                </c:pt>
                <c:pt idx="27">
                  <c:v>1.2675665668195701</c:v>
                </c:pt>
                <c:pt idx="28">
                  <c:v>1.2675665668195701</c:v>
                </c:pt>
                <c:pt idx="29">
                  <c:v>1.2675665668195701</c:v>
                </c:pt>
                <c:pt idx="30">
                  <c:v>1.2675665668195701</c:v>
                </c:pt>
                <c:pt idx="31">
                  <c:v>1.2675665668195701</c:v>
                </c:pt>
                <c:pt idx="32">
                  <c:v>1.2675665668195701</c:v>
                </c:pt>
                <c:pt idx="33">
                  <c:v>1.2675665668195701</c:v>
                </c:pt>
                <c:pt idx="34">
                  <c:v>1.2675665668195701</c:v>
                </c:pt>
                <c:pt idx="35">
                  <c:v>1.2675665668195701</c:v>
                </c:pt>
                <c:pt idx="36">
                  <c:v>1.2675665668195701</c:v>
                </c:pt>
                <c:pt idx="37">
                  <c:v>1.2675665668195701</c:v>
                </c:pt>
                <c:pt idx="38">
                  <c:v>1.2675665668195701</c:v>
                </c:pt>
                <c:pt idx="39">
                  <c:v>1.2675665668195701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E47-4E3D-8B0D-E4B9C23E25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3071576"/>
        <c:axId val="383076280"/>
      </c:scatterChart>
      <c:valAx>
        <c:axId val="3830715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83076280"/>
        <c:crosses val="autoZero"/>
        <c:crossBetween val="midCat"/>
      </c:valAx>
      <c:valAx>
        <c:axId val="383076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8307157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CH">
                <a:solidFill>
                  <a:srgbClr val="FF0000"/>
                </a:solidFill>
              </a:rPr>
              <a:t>FALL</a:t>
            </a:r>
            <a:r>
              <a:rPr lang="de-CH" baseline="0">
                <a:solidFill>
                  <a:srgbClr val="FF0000"/>
                </a:solidFill>
              </a:rPr>
              <a:t> 8: FUNKTION Y = e^[A*e^(B*x)]</a:t>
            </a:r>
            <a:endParaRPr lang="de-CH">
              <a:solidFill>
                <a:srgbClr val="FF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2.6487053258036099E-2"/>
          <c:y val="8.7188528443817595E-2"/>
          <c:w val="0.95710181670221373"/>
          <c:h val="0.80450543999348456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'FALL 8'!$D$6:$D$45</c:f>
              <c:numCache>
                <c:formatCode>General</c:formatCode>
                <c:ptCount val="40"/>
                <c:pt idx="0">
                  <c:v>8</c:v>
                </c:pt>
                <c:pt idx="1">
                  <c:v>7</c:v>
                </c:pt>
                <c:pt idx="2">
                  <c:v>4</c:v>
                </c:pt>
                <c:pt idx="3">
                  <c:v>2.5</c:v>
                </c:pt>
                <c:pt idx="4">
                  <c:v>4.5</c:v>
                </c:pt>
                <c:pt idx="5">
                  <c:v>10</c:v>
                </c:pt>
                <c:pt idx="6">
                  <c:v>12</c:v>
                </c:pt>
                <c:pt idx="7">
                  <c:v>15</c:v>
                </c:pt>
                <c:pt idx="8">
                  <c:v>1.5</c:v>
                </c:pt>
                <c:pt idx="9">
                  <c:v>14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xVal>
          <c:yVal>
            <c:numRef>
              <c:f>'FALL 8'!$E$6:$E$45</c:f>
              <c:numCache>
                <c:formatCode>General</c:formatCode>
                <c:ptCount val="40"/>
                <c:pt idx="0">
                  <c:v>1.4252465490220925</c:v>
                </c:pt>
                <c:pt idx="1">
                  <c:v>1.3588769916626078</c:v>
                </c:pt>
                <c:pt idx="2">
                  <c:v>1.0197814427924372</c:v>
                </c:pt>
                <c:pt idx="3">
                  <c:v>0.60572561750004339</c:v>
                </c:pt>
                <c:pt idx="4">
                  <c:v>1.1013268670276919</c:v>
                </c:pt>
                <c:pt idx="5">
                  <c:v>1.5271796260250483</c:v>
                </c:pt>
                <c:pt idx="6">
                  <c:v>1.6033822740650039</c:v>
                </c:pt>
                <c:pt idx="7">
                  <c:v>1.6893760735934</c:v>
                </c:pt>
                <c:pt idx="8">
                  <c:v>-0.20957322035119391</c:v>
                </c:pt>
                <c:pt idx="9">
                  <c:v>1.6635689619339744</c:v>
                </c:pt>
                <c:pt idx="10">
                  <c:v>3.6787942681586594E-8</c:v>
                </c:pt>
                <c:pt idx="11">
                  <c:v>3.6787942681586594E-8</c:v>
                </c:pt>
                <c:pt idx="12">
                  <c:v>3.6787942681586594E-8</c:v>
                </c:pt>
                <c:pt idx="13">
                  <c:v>3.6787942681586594E-8</c:v>
                </c:pt>
                <c:pt idx="14">
                  <c:v>3.6787942681586594E-8</c:v>
                </c:pt>
                <c:pt idx="15">
                  <c:v>3.6787942681586594E-8</c:v>
                </c:pt>
                <c:pt idx="16">
                  <c:v>3.6787942681586594E-8</c:v>
                </c:pt>
                <c:pt idx="17">
                  <c:v>3.6787942681586594E-8</c:v>
                </c:pt>
                <c:pt idx="18">
                  <c:v>3.6787942681586594E-8</c:v>
                </c:pt>
                <c:pt idx="19">
                  <c:v>3.6787942681586594E-8</c:v>
                </c:pt>
                <c:pt idx="20">
                  <c:v>3.6787942681586594E-8</c:v>
                </c:pt>
                <c:pt idx="21">
                  <c:v>3.6787942681586594E-8</c:v>
                </c:pt>
                <c:pt idx="22">
                  <c:v>3.6787942681586594E-8</c:v>
                </c:pt>
                <c:pt idx="23">
                  <c:v>3.6787942681586594E-8</c:v>
                </c:pt>
                <c:pt idx="24">
                  <c:v>3.6787942681586594E-8</c:v>
                </c:pt>
                <c:pt idx="25">
                  <c:v>3.6787942681586594E-8</c:v>
                </c:pt>
                <c:pt idx="26">
                  <c:v>3.6787942681586594E-8</c:v>
                </c:pt>
                <c:pt idx="27">
                  <c:v>3.6787942681586594E-8</c:v>
                </c:pt>
                <c:pt idx="28">
                  <c:v>3.6787942681586594E-8</c:v>
                </c:pt>
                <c:pt idx="29">
                  <c:v>3.6787942681586594E-8</c:v>
                </c:pt>
                <c:pt idx="30">
                  <c:v>3.6787942681586594E-8</c:v>
                </c:pt>
                <c:pt idx="31">
                  <c:v>3.6787942681586594E-8</c:v>
                </c:pt>
                <c:pt idx="32">
                  <c:v>3.6787942681586594E-8</c:v>
                </c:pt>
                <c:pt idx="33">
                  <c:v>3.6787942681586594E-8</c:v>
                </c:pt>
                <c:pt idx="34">
                  <c:v>3.6787942681586594E-8</c:v>
                </c:pt>
                <c:pt idx="35">
                  <c:v>3.6787942681586594E-8</c:v>
                </c:pt>
                <c:pt idx="36">
                  <c:v>3.6787942681586594E-8</c:v>
                </c:pt>
                <c:pt idx="37">
                  <c:v>3.6787942681586594E-8</c:v>
                </c:pt>
                <c:pt idx="38">
                  <c:v>3.6787942681586594E-8</c:v>
                </c:pt>
                <c:pt idx="39">
                  <c:v>3.6787942681586594E-8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037-4E94-AF75-649326A69D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3070008"/>
        <c:axId val="383071968"/>
      </c:scatterChart>
      <c:scatterChart>
        <c:scatterStyle val="smoothMarker"/>
        <c:varyColors val="0"/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'FALL 8'!$D$6:$D$45</c:f>
              <c:numCache>
                <c:formatCode>General</c:formatCode>
                <c:ptCount val="40"/>
                <c:pt idx="0">
                  <c:v>8</c:v>
                </c:pt>
                <c:pt idx="1">
                  <c:v>7</c:v>
                </c:pt>
                <c:pt idx="2">
                  <c:v>4</c:v>
                </c:pt>
                <c:pt idx="3">
                  <c:v>2.5</c:v>
                </c:pt>
                <c:pt idx="4">
                  <c:v>4.5</c:v>
                </c:pt>
                <c:pt idx="5">
                  <c:v>10</c:v>
                </c:pt>
                <c:pt idx="6">
                  <c:v>12</c:v>
                </c:pt>
                <c:pt idx="7">
                  <c:v>15</c:v>
                </c:pt>
                <c:pt idx="8">
                  <c:v>1.5</c:v>
                </c:pt>
                <c:pt idx="9">
                  <c:v>14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xVal>
          <c:yVal>
            <c:numRef>
              <c:f>'FALL 8'!$F$6:$F$45</c:f>
              <c:numCache>
                <c:formatCode>General</c:formatCode>
                <c:ptCount val="40"/>
                <c:pt idx="0">
                  <c:v>1.1943190128879035</c:v>
                </c:pt>
                <c:pt idx="1">
                  <c:v>1.0888600128281203</c:v>
                </c:pt>
                <c:pt idx="2">
                  <c:v>0.77248301264877062</c:v>
                </c:pt>
                <c:pt idx="3">
                  <c:v>0.61429451255909617</c:v>
                </c:pt>
                <c:pt idx="4">
                  <c:v>0.82521251267866236</c:v>
                </c:pt>
                <c:pt idx="5">
                  <c:v>1.4052370130074698</c:v>
                </c:pt>
                <c:pt idx="6">
                  <c:v>1.6161550131270364</c:v>
                </c:pt>
                <c:pt idx="7">
                  <c:v>1.9325320133063859</c:v>
                </c:pt>
                <c:pt idx="8">
                  <c:v>0.5088355124993128</c:v>
                </c:pt>
                <c:pt idx="9">
                  <c:v>1.8270730132466027</c:v>
                </c:pt>
                <c:pt idx="10">
                  <c:v>0.35064701240963791</c:v>
                </c:pt>
                <c:pt idx="11">
                  <c:v>0.35064701240963791</c:v>
                </c:pt>
                <c:pt idx="12">
                  <c:v>0.35064701240963791</c:v>
                </c:pt>
                <c:pt idx="13">
                  <c:v>0.35064701240963791</c:v>
                </c:pt>
                <c:pt idx="14">
                  <c:v>0.35064701240963791</c:v>
                </c:pt>
                <c:pt idx="15">
                  <c:v>0.35064701240963791</c:v>
                </c:pt>
                <c:pt idx="16">
                  <c:v>0.35064701240963791</c:v>
                </c:pt>
                <c:pt idx="17">
                  <c:v>0.35064701240963791</c:v>
                </c:pt>
                <c:pt idx="18">
                  <c:v>0.35064701240963791</c:v>
                </c:pt>
                <c:pt idx="19">
                  <c:v>0.35064701240963791</c:v>
                </c:pt>
                <c:pt idx="20">
                  <c:v>0.35064701240963791</c:v>
                </c:pt>
                <c:pt idx="21">
                  <c:v>0.35064701240963791</c:v>
                </c:pt>
                <c:pt idx="22">
                  <c:v>0.35064701240963791</c:v>
                </c:pt>
                <c:pt idx="23">
                  <c:v>0.35064701240963791</c:v>
                </c:pt>
                <c:pt idx="24">
                  <c:v>0.35064701240963791</c:v>
                </c:pt>
                <c:pt idx="25">
                  <c:v>0.35064701240963791</c:v>
                </c:pt>
                <c:pt idx="26">
                  <c:v>0.35064701240963791</c:v>
                </c:pt>
                <c:pt idx="27">
                  <c:v>0.35064701240963791</c:v>
                </c:pt>
                <c:pt idx="28">
                  <c:v>0.35064701240963791</c:v>
                </c:pt>
                <c:pt idx="29">
                  <c:v>0.35064701240963791</c:v>
                </c:pt>
                <c:pt idx="30">
                  <c:v>0.35064701240963791</c:v>
                </c:pt>
                <c:pt idx="31">
                  <c:v>0.35064701240963791</c:v>
                </c:pt>
                <c:pt idx="32">
                  <c:v>0.35064701240963791</c:v>
                </c:pt>
                <c:pt idx="33">
                  <c:v>0.35064701240963791</c:v>
                </c:pt>
                <c:pt idx="34">
                  <c:v>0.35064701240963791</c:v>
                </c:pt>
                <c:pt idx="35">
                  <c:v>0.35064701240963791</c:v>
                </c:pt>
                <c:pt idx="36">
                  <c:v>0.35064701240963791</c:v>
                </c:pt>
                <c:pt idx="37">
                  <c:v>0.35064701240963791</c:v>
                </c:pt>
                <c:pt idx="38">
                  <c:v>0.35064701240963791</c:v>
                </c:pt>
                <c:pt idx="39">
                  <c:v>0.35064701240963791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037-4E94-AF75-649326A69D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3070008"/>
        <c:axId val="383071968"/>
      </c:scatterChart>
      <c:valAx>
        <c:axId val="3830700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83071968"/>
        <c:crosses val="autoZero"/>
        <c:crossBetween val="midCat"/>
      </c:valAx>
      <c:valAx>
        <c:axId val="383071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830700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CH">
                <a:solidFill>
                  <a:srgbClr val="FF0000"/>
                </a:solidFill>
              </a:rPr>
              <a:t>FALL</a:t>
            </a:r>
            <a:r>
              <a:rPr lang="de-CH" baseline="0">
                <a:solidFill>
                  <a:srgbClr val="FF0000"/>
                </a:solidFill>
              </a:rPr>
              <a:t> 9: FUNKTION Y = A*x^B</a:t>
            </a:r>
            <a:endParaRPr lang="de-CH">
              <a:solidFill>
                <a:srgbClr val="FF0000"/>
              </a:solidFill>
            </a:endParaRPr>
          </a:p>
        </c:rich>
      </c:tx>
      <c:layout>
        <c:manualLayout>
          <c:xMode val="edge"/>
          <c:yMode val="edge"/>
          <c:x val="0.23877077865266846"/>
          <c:y val="3.24074074074074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5.0952515072474412E-2"/>
          <c:y val="7.8988821138211388E-2"/>
          <c:w val="0.92758558757138254"/>
          <c:h val="0.81970244382561941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'FALL 9'!$D$6:$D$44</c:f>
              <c:numCache>
                <c:formatCode>General</c:formatCode>
                <c:ptCount val="39"/>
                <c:pt idx="0">
                  <c:v>2.079566533867987</c:v>
                </c:pt>
                <c:pt idx="1">
                  <c:v>1.9459101504838847</c:v>
                </c:pt>
                <c:pt idx="2">
                  <c:v>1.3862943636198906</c:v>
                </c:pt>
                <c:pt idx="3">
                  <c:v>0.91629073587415499</c:v>
                </c:pt>
                <c:pt idx="4">
                  <c:v>1.5040773989984964</c:v>
                </c:pt>
                <c:pt idx="5">
                  <c:v>2.302585093994046</c:v>
                </c:pt>
                <c:pt idx="6">
                  <c:v>2.4849066506213338</c:v>
                </c:pt>
                <c:pt idx="7">
                  <c:v>2.7080502017688768</c:v>
                </c:pt>
                <c:pt idx="8">
                  <c:v>0.40546511477483099</c:v>
                </c:pt>
                <c:pt idx="9">
                  <c:v>2.6390573303295444</c:v>
                </c:pt>
                <c:pt idx="10">
                  <c:v>9.9999998892252911E-9</c:v>
                </c:pt>
                <c:pt idx="11">
                  <c:v>9.9999998892252911E-9</c:v>
                </c:pt>
                <c:pt idx="12">
                  <c:v>9.9999998892252911E-9</c:v>
                </c:pt>
                <c:pt idx="13">
                  <c:v>9.9999998892252911E-9</c:v>
                </c:pt>
                <c:pt idx="14">
                  <c:v>9.9999998892252911E-9</c:v>
                </c:pt>
                <c:pt idx="15">
                  <c:v>9.9999998892252911E-9</c:v>
                </c:pt>
                <c:pt idx="16">
                  <c:v>9.9999998892252911E-9</c:v>
                </c:pt>
                <c:pt idx="17">
                  <c:v>9.9999998892252911E-9</c:v>
                </c:pt>
                <c:pt idx="18">
                  <c:v>9.9999998892252911E-9</c:v>
                </c:pt>
                <c:pt idx="19">
                  <c:v>9.9999998892252911E-9</c:v>
                </c:pt>
                <c:pt idx="20">
                  <c:v>9.9999998892252911E-9</c:v>
                </c:pt>
                <c:pt idx="21">
                  <c:v>9.9999998892252911E-9</c:v>
                </c:pt>
                <c:pt idx="22">
                  <c:v>9.9999998892252911E-9</c:v>
                </c:pt>
                <c:pt idx="23">
                  <c:v>9.9999998892252911E-9</c:v>
                </c:pt>
                <c:pt idx="24">
                  <c:v>9.9999998892252911E-9</c:v>
                </c:pt>
                <c:pt idx="25">
                  <c:v>9.9999998892252911E-9</c:v>
                </c:pt>
                <c:pt idx="26">
                  <c:v>9.9999998892252911E-9</c:v>
                </c:pt>
                <c:pt idx="27">
                  <c:v>9.9999998892252911E-9</c:v>
                </c:pt>
                <c:pt idx="28">
                  <c:v>9.9999998892252911E-9</c:v>
                </c:pt>
                <c:pt idx="29">
                  <c:v>9.9999998892252911E-9</c:v>
                </c:pt>
                <c:pt idx="30">
                  <c:v>9.9999998892252911E-9</c:v>
                </c:pt>
                <c:pt idx="31">
                  <c:v>9.9999998892252911E-9</c:v>
                </c:pt>
                <c:pt idx="32">
                  <c:v>9.9999998892252911E-9</c:v>
                </c:pt>
                <c:pt idx="33">
                  <c:v>9.9999998892252911E-9</c:v>
                </c:pt>
                <c:pt idx="34">
                  <c:v>9.9999998892252911E-9</c:v>
                </c:pt>
                <c:pt idx="35">
                  <c:v>9.9999998892252911E-9</c:v>
                </c:pt>
                <c:pt idx="36">
                  <c:v>9.9999998892252911E-9</c:v>
                </c:pt>
                <c:pt idx="37">
                  <c:v>9.9999998892252911E-9</c:v>
                </c:pt>
                <c:pt idx="38">
                  <c:v>9.9999998892252911E-9</c:v>
                </c:pt>
              </c:numCache>
            </c:numRef>
          </c:xVal>
          <c:yVal>
            <c:numRef>
              <c:f>'FALL 9'!$E$6:$E$44</c:f>
              <c:numCache>
                <c:formatCode>General</c:formatCode>
                <c:ptCount val="39"/>
                <c:pt idx="0">
                  <c:v>4.1588830833752972</c:v>
                </c:pt>
                <c:pt idx="1">
                  <c:v>3.8918202981310346</c:v>
                </c:pt>
                <c:pt idx="2">
                  <c:v>2.7725887223022814</c:v>
                </c:pt>
                <c:pt idx="3">
                  <c:v>1.8325814639083102</c:v>
                </c:pt>
                <c:pt idx="4">
                  <c:v>3.0081547936019311</c:v>
                </c:pt>
                <c:pt idx="5">
                  <c:v>4.6051701859980918</c:v>
                </c:pt>
                <c:pt idx="6">
                  <c:v>4.9698132995829454</c:v>
                </c:pt>
                <c:pt idx="7">
                  <c:v>5.4161004022088646</c:v>
                </c:pt>
                <c:pt idx="8">
                  <c:v>0.81093021666077325</c:v>
                </c:pt>
                <c:pt idx="9">
                  <c:v>5.2781146592356194</c:v>
                </c:pt>
                <c:pt idx="10">
                  <c:v>1.0000000822403709E-9</c:v>
                </c:pt>
                <c:pt idx="11">
                  <c:v>1.0000000822403709E-9</c:v>
                </c:pt>
                <c:pt idx="12">
                  <c:v>1.0000000822403709E-9</c:v>
                </c:pt>
                <c:pt idx="13">
                  <c:v>1.0000000822403709E-9</c:v>
                </c:pt>
                <c:pt idx="14">
                  <c:v>1.0000000822403709E-9</c:v>
                </c:pt>
                <c:pt idx="15">
                  <c:v>1.0000000822403709E-9</c:v>
                </c:pt>
                <c:pt idx="16">
                  <c:v>1.0000000822403709E-9</c:v>
                </c:pt>
                <c:pt idx="17">
                  <c:v>1.0000000822403709E-9</c:v>
                </c:pt>
                <c:pt idx="18">
                  <c:v>1.0000000822403709E-9</c:v>
                </c:pt>
                <c:pt idx="19">
                  <c:v>1.0000000822403709E-9</c:v>
                </c:pt>
                <c:pt idx="20">
                  <c:v>1.0000000822403709E-9</c:v>
                </c:pt>
                <c:pt idx="21">
                  <c:v>1.0000000822403709E-9</c:v>
                </c:pt>
                <c:pt idx="22">
                  <c:v>1.0000000822403709E-9</c:v>
                </c:pt>
                <c:pt idx="23">
                  <c:v>1.0000000822403709E-9</c:v>
                </c:pt>
                <c:pt idx="24">
                  <c:v>1.0000000822403709E-9</c:v>
                </c:pt>
                <c:pt idx="25">
                  <c:v>1.0000000822403709E-9</c:v>
                </c:pt>
                <c:pt idx="26">
                  <c:v>1.0000000822403709E-9</c:v>
                </c:pt>
                <c:pt idx="27">
                  <c:v>1.0000000822403709E-9</c:v>
                </c:pt>
                <c:pt idx="28">
                  <c:v>1.0000000822403709E-9</c:v>
                </c:pt>
                <c:pt idx="29">
                  <c:v>1.0000000822403709E-9</c:v>
                </c:pt>
                <c:pt idx="30">
                  <c:v>1.0000000822403709E-9</c:v>
                </c:pt>
                <c:pt idx="31">
                  <c:v>1.0000000822403709E-9</c:v>
                </c:pt>
                <c:pt idx="32">
                  <c:v>1.0000000822403709E-9</c:v>
                </c:pt>
                <c:pt idx="33">
                  <c:v>1.0000000822403709E-9</c:v>
                </c:pt>
                <c:pt idx="34">
                  <c:v>1.0000000822403709E-9</c:v>
                </c:pt>
                <c:pt idx="35">
                  <c:v>1.0000000822403709E-9</c:v>
                </c:pt>
                <c:pt idx="36">
                  <c:v>1.0000000822403709E-9</c:v>
                </c:pt>
                <c:pt idx="37">
                  <c:v>1.0000000822403709E-9</c:v>
                </c:pt>
                <c:pt idx="38">
                  <c:v>1.0000000822403709E-9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E86-4A0D-8455-EA43FB9A12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3075496"/>
        <c:axId val="383074320"/>
      </c:scatterChart>
      <c:scatterChart>
        <c:scatterStyle val="smoothMarker"/>
        <c:varyColors val="0"/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'FALL 9'!$D$6:$D$44</c:f>
              <c:numCache>
                <c:formatCode>General</c:formatCode>
                <c:ptCount val="39"/>
                <c:pt idx="0">
                  <c:v>2.079566533867987</c:v>
                </c:pt>
                <c:pt idx="1">
                  <c:v>1.9459101504838847</c:v>
                </c:pt>
                <c:pt idx="2">
                  <c:v>1.3862943636198906</c:v>
                </c:pt>
                <c:pt idx="3">
                  <c:v>0.91629073587415499</c:v>
                </c:pt>
                <c:pt idx="4">
                  <c:v>1.5040773989984964</c:v>
                </c:pt>
                <c:pt idx="5">
                  <c:v>2.302585093994046</c:v>
                </c:pt>
                <c:pt idx="6">
                  <c:v>2.4849066506213338</c:v>
                </c:pt>
                <c:pt idx="7">
                  <c:v>2.7080502017688768</c:v>
                </c:pt>
                <c:pt idx="8">
                  <c:v>0.40546511477483099</c:v>
                </c:pt>
                <c:pt idx="9">
                  <c:v>2.6390573303295444</c:v>
                </c:pt>
                <c:pt idx="10">
                  <c:v>9.9999998892252911E-9</c:v>
                </c:pt>
                <c:pt idx="11">
                  <c:v>9.9999998892252911E-9</c:v>
                </c:pt>
                <c:pt idx="12">
                  <c:v>9.9999998892252911E-9</c:v>
                </c:pt>
                <c:pt idx="13">
                  <c:v>9.9999998892252911E-9</c:v>
                </c:pt>
                <c:pt idx="14">
                  <c:v>9.9999998892252911E-9</c:v>
                </c:pt>
                <c:pt idx="15">
                  <c:v>9.9999998892252911E-9</c:v>
                </c:pt>
                <c:pt idx="16">
                  <c:v>9.9999998892252911E-9</c:v>
                </c:pt>
                <c:pt idx="17">
                  <c:v>9.9999998892252911E-9</c:v>
                </c:pt>
                <c:pt idx="18">
                  <c:v>9.9999998892252911E-9</c:v>
                </c:pt>
                <c:pt idx="19">
                  <c:v>9.9999998892252911E-9</c:v>
                </c:pt>
                <c:pt idx="20">
                  <c:v>9.9999998892252911E-9</c:v>
                </c:pt>
                <c:pt idx="21">
                  <c:v>9.9999998892252911E-9</c:v>
                </c:pt>
                <c:pt idx="22">
                  <c:v>9.9999998892252911E-9</c:v>
                </c:pt>
                <c:pt idx="23">
                  <c:v>9.9999998892252911E-9</c:v>
                </c:pt>
                <c:pt idx="24">
                  <c:v>9.9999998892252911E-9</c:v>
                </c:pt>
                <c:pt idx="25">
                  <c:v>9.9999998892252911E-9</c:v>
                </c:pt>
                <c:pt idx="26">
                  <c:v>9.9999998892252911E-9</c:v>
                </c:pt>
                <c:pt idx="27">
                  <c:v>9.9999998892252911E-9</c:v>
                </c:pt>
                <c:pt idx="28">
                  <c:v>9.9999998892252911E-9</c:v>
                </c:pt>
                <c:pt idx="29">
                  <c:v>9.9999998892252911E-9</c:v>
                </c:pt>
                <c:pt idx="30">
                  <c:v>9.9999998892252911E-9</c:v>
                </c:pt>
                <c:pt idx="31">
                  <c:v>9.9999998892252911E-9</c:v>
                </c:pt>
                <c:pt idx="32">
                  <c:v>9.9999998892252911E-9</c:v>
                </c:pt>
                <c:pt idx="33">
                  <c:v>9.9999998892252911E-9</c:v>
                </c:pt>
                <c:pt idx="34">
                  <c:v>9.9999998892252911E-9</c:v>
                </c:pt>
                <c:pt idx="35">
                  <c:v>9.9999998892252911E-9</c:v>
                </c:pt>
                <c:pt idx="36">
                  <c:v>9.9999998892252911E-9</c:v>
                </c:pt>
                <c:pt idx="37">
                  <c:v>9.9999998892252911E-9</c:v>
                </c:pt>
                <c:pt idx="38">
                  <c:v>9.9999998892252911E-9</c:v>
                </c:pt>
              </c:numCache>
            </c:numRef>
          </c:xVal>
          <c:yVal>
            <c:numRef>
              <c:f>'FALL 9'!$F$6:$F$44</c:f>
              <c:numCache>
                <c:formatCode>General</c:formatCode>
                <c:ptCount val="39"/>
                <c:pt idx="0">
                  <c:v>4.1588552094902127</c:v>
                </c:pt>
                <c:pt idx="1">
                  <c:v>3.8917938930864868</c:v>
                </c:pt>
                <c:pt idx="2">
                  <c:v>2.7725684729893088</c:v>
                </c:pt>
                <c:pt idx="3">
                  <c:v>1.8325663845377593</c:v>
                </c:pt>
                <c:pt idx="4">
                  <c:v>3.0081332486886838</c:v>
                </c:pt>
                <c:pt idx="5">
                  <c:v>4.6051398575395686</c:v>
                </c:pt>
                <c:pt idx="6">
                  <c:v>4.9697809655903527</c:v>
                </c:pt>
                <c:pt idx="7">
                  <c:v>5.4160656136397076</c:v>
                </c:pt>
                <c:pt idx="8">
                  <c:v>0.81092075608763958</c:v>
                </c:pt>
                <c:pt idx="9">
                  <c:v>5.2780806295873912</c:v>
                </c:pt>
                <c:pt idx="10">
                  <c:v>-5.0000125000744233E-6</c:v>
                </c:pt>
                <c:pt idx="11">
                  <c:v>-5.0000125000744233E-6</c:v>
                </c:pt>
                <c:pt idx="12">
                  <c:v>-5.0000125000744233E-6</c:v>
                </c:pt>
                <c:pt idx="13">
                  <c:v>-5.0000125000744233E-6</c:v>
                </c:pt>
                <c:pt idx="14">
                  <c:v>-5.0000125000744233E-6</c:v>
                </c:pt>
                <c:pt idx="15">
                  <c:v>-5.0000125000744233E-6</c:v>
                </c:pt>
                <c:pt idx="16">
                  <c:v>-5.0000125000744233E-6</c:v>
                </c:pt>
                <c:pt idx="17">
                  <c:v>-5.0000125000744233E-6</c:v>
                </c:pt>
                <c:pt idx="18">
                  <c:v>-5.0000125000744233E-6</c:v>
                </c:pt>
                <c:pt idx="19">
                  <c:v>-5.0000125000744233E-6</c:v>
                </c:pt>
                <c:pt idx="20">
                  <c:v>-5.0000125000744233E-6</c:v>
                </c:pt>
                <c:pt idx="21">
                  <c:v>-5.0000125000744233E-6</c:v>
                </c:pt>
                <c:pt idx="22">
                  <c:v>-5.0000125000744233E-6</c:v>
                </c:pt>
                <c:pt idx="23">
                  <c:v>-5.0000125000744233E-6</c:v>
                </c:pt>
                <c:pt idx="24">
                  <c:v>-5.0000125000744233E-6</c:v>
                </c:pt>
                <c:pt idx="25">
                  <c:v>-5.0000125000744233E-6</c:v>
                </c:pt>
                <c:pt idx="26">
                  <c:v>-5.0000125000744233E-6</c:v>
                </c:pt>
                <c:pt idx="27">
                  <c:v>-5.0000125000744233E-6</c:v>
                </c:pt>
                <c:pt idx="28">
                  <c:v>-5.0000125000744233E-6</c:v>
                </c:pt>
                <c:pt idx="29">
                  <c:v>-5.0000125000744233E-6</c:v>
                </c:pt>
                <c:pt idx="30">
                  <c:v>-5.0000125000744233E-6</c:v>
                </c:pt>
                <c:pt idx="31">
                  <c:v>-5.0000125000744233E-6</c:v>
                </c:pt>
                <c:pt idx="32">
                  <c:v>-5.0000125000744233E-6</c:v>
                </c:pt>
                <c:pt idx="33">
                  <c:v>-5.0000125000744233E-6</c:v>
                </c:pt>
                <c:pt idx="34">
                  <c:v>-5.0000125000744233E-6</c:v>
                </c:pt>
                <c:pt idx="35">
                  <c:v>-5.0000125000744233E-6</c:v>
                </c:pt>
                <c:pt idx="36">
                  <c:v>-5.0000125000744233E-6</c:v>
                </c:pt>
                <c:pt idx="37">
                  <c:v>-5.0000125000744233E-6</c:v>
                </c:pt>
                <c:pt idx="38">
                  <c:v>-5.0000125000744233E-6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E86-4A0D-8455-EA43FB9A12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3075496"/>
        <c:axId val="383074320"/>
      </c:scatterChart>
      <c:valAx>
        <c:axId val="3830754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83074320"/>
        <c:crosses val="autoZero"/>
        <c:crossBetween val="midCat"/>
      </c:valAx>
      <c:valAx>
        <c:axId val="383074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8307549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CH">
                <a:solidFill>
                  <a:srgbClr val="FF0000"/>
                </a:solidFill>
              </a:rPr>
              <a:t>FALL</a:t>
            </a:r>
            <a:r>
              <a:rPr lang="de-CH" baseline="0">
                <a:solidFill>
                  <a:srgbClr val="FF0000"/>
                </a:solidFill>
              </a:rPr>
              <a:t> 10: FUNKTION Y = A*(lnIxI)^B </a:t>
            </a:r>
            <a:endParaRPr lang="de-CH">
              <a:solidFill>
                <a:srgbClr val="FF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5.9489784811239371E-2"/>
          <c:y val="0.16762057968560382"/>
          <c:w val="0.91269465485841306"/>
          <c:h val="0.74096186288950161"/>
        </c:manualLayout>
      </c:layout>
      <c:scatterChart>
        <c:scatterStyle val="lineMarker"/>
        <c:varyColors val="0"/>
        <c:ser>
          <c:idx val="0"/>
          <c:order val="0"/>
          <c:tx>
            <c:v>Messwerte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'FALL 10'!$D$6:$D$45</c:f>
              <c:numCache>
                <c:formatCode>General</c:formatCode>
                <c:ptCount val="40"/>
                <c:pt idx="0">
                  <c:v>0.73209936868756831</c:v>
                </c:pt>
                <c:pt idx="1">
                  <c:v>0.66572981131241693</c:v>
                </c:pt>
                <c:pt idx="2">
                  <c:v>0.32663426178164973</c:v>
                </c:pt>
                <c:pt idx="3">
                  <c:v>-8.7421567425328514E-2</c:v>
                </c:pt>
                <c:pt idx="4">
                  <c:v>0.4081796863035837</c:v>
                </c:pt>
                <c:pt idx="5">
                  <c:v>0.83403244568225043</c:v>
                </c:pt>
                <c:pt idx="6">
                  <c:v>0.91023509370068401</c:v>
                </c:pt>
                <c:pt idx="7">
                  <c:v>0.99622889319757446</c:v>
                </c:pt>
                <c:pt idx="8">
                  <c:v>-0.90272043927585721</c:v>
                </c:pt>
                <c:pt idx="9">
                  <c:v>0.97042178154802439</c:v>
                </c:pt>
                <c:pt idx="10">
                  <c:v>3.6787943734684532E-9</c:v>
                </c:pt>
                <c:pt idx="11">
                  <c:v>3.6787943734684532E-9</c:v>
                </c:pt>
                <c:pt idx="12">
                  <c:v>3.6787943734684532E-9</c:v>
                </c:pt>
                <c:pt idx="13">
                  <c:v>3.6787943734684532E-9</c:v>
                </c:pt>
                <c:pt idx="14">
                  <c:v>3.6787943734684532E-9</c:v>
                </c:pt>
                <c:pt idx="15">
                  <c:v>3.6787943734684532E-9</c:v>
                </c:pt>
                <c:pt idx="16">
                  <c:v>3.6787943734684532E-9</c:v>
                </c:pt>
                <c:pt idx="17">
                  <c:v>3.6787943734684532E-9</c:v>
                </c:pt>
                <c:pt idx="18">
                  <c:v>3.6787943734684532E-9</c:v>
                </c:pt>
                <c:pt idx="19">
                  <c:v>3.6787943734684532E-9</c:v>
                </c:pt>
                <c:pt idx="20">
                  <c:v>3.6787943734684532E-9</c:v>
                </c:pt>
                <c:pt idx="21">
                  <c:v>3.6787943734684532E-9</c:v>
                </c:pt>
                <c:pt idx="22">
                  <c:v>3.6787943734684532E-9</c:v>
                </c:pt>
                <c:pt idx="23">
                  <c:v>3.6787943734684532E-9</c:v>
                </c:pt>
                <c:pt idx="24">
                  <c:v>3.6787943734684532E-9</c:v>
                </c:pt>
                <c:pt idx="25">
                  <c:v>3.6787943734684532E-9</c:v>
                </c:pt>
                <c:pt idx="26">
                  <c:v>3.6787943734684532E-9</c:v>
                </c:pt>
                <c:pt idx="27">
                  <c:v>3.6787943734684532E-9</c:v>
                </c:pt>
                <c:pt idx="28">
                  <c:v>3.6787943734684532E-9</c:v>
                </c:pt>
                <c:pt idx="29">
                  <c:v>3.6787943734684532E-9</c:v>
                </c:pt>
                <c:pt idx="30">
                  <c:v>3.6787943734684532E-9</c:v>
                </c:pt>
                <c:pt idx="31">
                  <c:v>3.6787943734684532E-9</c:v>
                </c:pt>
                <c:pt idx="32">
                  <c:v>3.6787943734684532E-9</c:v>
                </c:pt>
                <c:pt idx="33">
                  <c:v>3.6787943734684532E-9</c:v>
                </c:pt>
                <c:pt idx="34">
                  <c:v>3.6787943734684532E-9</c:v>
                </c:pt>
                <c:pt idx="35">
                  <c:v>3.6787943734684532E-9</c:v>
                </c:pt>
                <c:pt idx="36">
                  <c:v>3.6787943734684532E-9</c:v>
                </c:pt>
                <c:pt idx="37">
                  <c:v>3.6787943734684532E-9</c:v>
                </c:pt>
                <c:pt idx="38">
                  <c:v>3.6787943734684532E-9</c:v>
                </c:pt>
                <c:pt idx="39">
                  <c:v>3.6787943734684532E-9</c:v>
                </c:pt>
              </c:numCache>
            </c:numRef>
          </c:xVal>
          <c:yVal>
            <c:numRef>
              <c:f>'FALL 10'!$E$6:$E$45</c:f>
              <c:numCache>
                <c:formatCode>General</c:formatCode>
                <c:ptCount val="40"/>
                <c:pt idx="0">
                  <c:v>4.1588830833752972</c:v>
                </c:pt>
                <c:pt idx="1">
                  <c:v>3.8918202981310346</c:v>
                </c:pt>
                <c:pt idx="2">
                  <c:v>2.7725887223022814</c:v>
                </c:pt>
                <c:pt idx="3">
                  <c:v>1.8325814639083102</c:v>
                </c:pt>
                <c:pt idx="4">
                  <c:v>3.0081547936019311</c:v>
                </c:pt>
                <c:pt idx="5">
                  <c:v>4.6051701859980918</c:v>
                </c:pt>
                <c:pt idx="6">
                  <c:v>4.9698132995829454</c:v>
                </c:pt>
                <c:pt idx="7">
                  <c:v>5.4161004022088646</c:v>
                </c:pt>
                <c:pt idx="8">
                  <c:v>0.81093021666077325</c:v>
                </c:pt>
                <c:pt idx="9">
                  <c:v>5.2781146592356194</c:v>
                </c:pt>
                <c:pt idx="10">
                  <c:v>1.0000000822403709E-9</c:v>
                </c:pt>
                <c:pt idx="11">
                  <c:v>1.0000000822403709E-9</c:v>
                </c:pt>
                <c:pt idx="12">
                  <c:v>1.0000000822403709E-9</c:v>
                </c:pt>
                <c:pt idx="13">
                  <c:v>1.0000000822403709E-9</c:v>
                </c:pt>
                <c:pt idx="14">
                  <c:v>1.0000000822403709E-9</c:v>
                </c:pt>
                <c:pt idx="15">
                  <c:v>1.0000000822403709E-9</c:v>
                </c:pt>
                <c:pt idx="16">
                  <c:v>1.0000000822403709E-9</c:v>
                </c:pt>
                <c:pt idx="17">
                  <c:v>1.0000000822403709E-9</c:v>
                </c:pt>
                <c:pt idx="18">
                  <c:v>1.0000000822403709E-9</c:v>
                </c:pt>
                <c:pt idx="19">
                  <c:v>1.0000000822403709E-9</c:v>
                </c:pt>
                <c:pt idx="20">
                  <c:v>1.0000000822403709E-9</c:v>
                </c:pt>
                <c:pt idx="21">
                  <c:v>1.0000000822403709E-9</c:v>
                </c:pt>
                <c:pt idx="22">
                  <c:v>1.0000000822403709E-9</c:v>
                </c:pt>
                <c:pt idx="23">
                  <c:v>1.0000000822403709E-9</c:v>
                </c:pt>
                <c:pt idx="24">
                  <c:v>1.0000000822403709E-9</c:v>
                </c:pt>
                <c:pt idx="25">
                  <c:v>1.0000000822403709E-9</c:v>
                </c:pt>
                <c:pt idx="26">
                  <c:v>1.0000000822403709E-9</c:v>
                </c:pt>
                <c:pt idx="27">
                  <c:v>1.0000000822403709E-9</c:v>
                </c:pt>
                <c:pt idx="28">
                  <c:v>1.0000000822403709E-9</c:v>
                </c:pt>
                <c:pt idx="29">
                  <c:v>1.0000000822403709E-9</c:v>
                </c:pt>
                <c:pt idx="30">
                  <c:v>1.0000000822403709E-9</c:v>
                </c:pt>
                <c:pt idx="31">
                  <c:v>1.0000000822403709E-9</c:v>
                </c:pt>
                <c:pt idx="32">
                  <c:v>1.0000000822403709E-9</c:v>
                </c:pt>
                <c:pt idx="33">
                  <c:v>1.0000000822403709E-9</c:v>
                </c:pt>
                <c:pt idx="34">
                  <c:v>1.0000000822403709E-9</c:v>
                </c:pt>
                <c:pt idx="35">
                  <c:v>1.0000000822403709E-9</c:v>
                </c:pt>
                <c:pt idx="36">
                  <c:v>1.0000000822403709E-9</c:v>
                </c:pt>
                <c:pt idx="37">
                  <c:v>1.0000000822403709E-9</c:v>
                </c:pt>
                <c:pt idx="38">
                  <c:v>1.0000000822403709E-9</c:v>
                </c:pt>
                <c:pt idx="39">
                  <c:v>1.0000000822403709E-9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4D1-4622-B793-ADC45472A5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3065696"/>
        <c:axId val="383066480"/>
      </c:scatterChart>
      <c:scatterChart>
        <c:scatterStyle val="smoothMarker"/>
        <c:varyColors val="0"/>
        <c:ser>
          <c:idx val="1"/>
          <c:order val="1"/>
          <c:tx>
            <c:v>Funktionsgerade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'FALL 10'!$D$6:$D$45</c:f>
              <c:numCache>
                <c:formatCode>General</c:formatCode>
                <c:ptCount val="40"/>
                <c:pt idx="0">
                  <c:v>0.73209936868756831</c:v>
                </c:pt>
                <c:pt idx="1">
                  <c:v>0.66572981131241693</c:v>
                </c:pt>
                <c:pt idx="2">
                  <c:v>0.32663426178164973</c:v>
                </c:pt>
                <c:pt idx="3">
                  <c:v>-8.7421567425328514E-2</c:v>
                </c:pt>
                <c:pt idx="4">
                  <c:v>0.4081796863035837</c:v>
                </c:pt>
                <c:pt idx="5">
                  <c:v>0.83403244568225043</c:v>
                </c:pt>
                <c:pt idx="6">
                  <c:v>0.91023509370068401</c:v>
                </c:pt>
                <c:pt idx="7">
                  <c:v>0.99622889319757446</c:v>
                </c:pt>
                <c:pt idx="8">
                  <c:v>-0.90272043927585721</c:v>
                </c:pt>
                <c:pt idx="9">
                  <c:v>0.97042178154802439</c:v>
                </c:pt>
                <c:pt idx="10">
                  <c:v>3.6787943734684532E-9</c:v>
                </c:pt>
                <c:pt idx="11">
                  <c:v>3.6787943734684532E-9</c:v>
                </c:pt>
                <c:pt idx="12">
                  <c:v>3.6787943734684532E-9</c:v>
                </c:pt>
                <c:pt idx="13">
                  <c:v>3.6787943734684532E-9</c:v>
                </c:pt>
                <c:pt idx="14">
                  <c:v>3.6787943734684532E-9</c:v>
                </c:pt>
                <c:pt idx="15">
                  <c:v>3.6787943734684532E-9</c:v>
                </c:pt>
                <c:pt idx="16">
                  <c:v>3.6787943734684532E-9</c:v>
                </c:pt>
                <c:pt idx="17">
                  <c:v>3.6787943734684532E-9</c:v>
                </c:pt>
                <c:pt idx="18">
                  <c:v>3.6787943734684532E-9</c:v>
                </c:pt>
                <c:pt idx="19">
                  <c:v>3.6787943734684532E-9</c:v>
                </c:pt>
                <c:pt idx="20">
                  <c:v>3.6787943734684532E-9</c:v>
                </c:pt>
                <c:pt idx="21">
                  <c:v>3.6787943734684532E-9</c:v>
                </c:pt>
                <c:pt idx="22">
                  <c:v>3.6787943734684532E-9</c:v>
                </c:pt>
                <c:pt idx="23">
                  <c:v>3.6787943734684532E-9</c:v>
                </c:pt>
                <c:pt idx="24">
                  <c:v>3.6787943734684532E-9</c:v>
                </c:pt>
                <c:pt idx="25">
                  <c:v>3.6787943734684532E-9</c:v>
                </c:pt>
                <c:pt idx="26">
                  <c:v>3.6787943734684532E-9</c:v>
                </c:pt>
                <c:pt idx="27">
                  <c:v>3.6787943734684532E-9</c:v>
                </c:pt>
                <c:pt idx="28">
                  <c:v>3.6787943734684532E-9</c:v>
                </c:pt>
                <c:pt idx="29">
                  <c:v>3.6787943734684532E-9</c:v>
                </c:pt>
                <c:pt idx="30">
                  <c:v>3.6787943734684532E-9</c:v>
                </c:pt>
                <c:pt idx="31">
                  <c:v>3.6787943734684532E-9</c:v>
                </c:pt>
                <c:pt idx="32">
                  <c:v>3.6787943734684532E-9</c:v>
                </c:pt>
                <c:pt idx="33">
                  <c:v>3.6787943734684532E-9</c:v>
                </c:pt>
                <c:pt idx="34">
                  <c:v>3.6787943734684532E-9</c:v>
                </c:pt>
                <c:pt idx="35">
                  <c:v>3.6787943734684532E-9</c:v>
                </c:pt>
                <c:pt idx="36">
                  <c:v>3.6787943734684532E-9</c:v>
                </c:pt>
                <c:pt idx="37">
                  <c:v>3.6787943734684532E-9</c:v>
                </c:pt>
                <c:pt idx="38">
                  <c:v>3.6787943734684532E-9</c:v>
                </c:pt>
                <c:pt idx="39">
                  <c:v>3.6787943734684532E-9</c:v>
                </c:pt>
              </c:numCache>
            </c:numRef>
          </c:xVal>
          <c:yVal>
            <c:numRef>
              <c:f>'FALL 10'!$F$6:$F$45</c:f>
              <c:numCache>
                <c:formatCode>General</c:formatCode>
                <c:ptCount val="40"/>
                <c:pt idx="0">
                  <c:v>4.2900419099382106</c:v>
                </c:pt>
                <c:pt idx="1">
                  <c:v>4.1244827494043443</c:v>
                </c:pt>
                <c:pt idx="2">
                  <c:v>3.2786073700681171</c:v>
                </c:pt>
                <c:pt idx="3">
                  <c:v>2.245743234630531</c:v>
                </c:pt>
                <c:pt idx="4">
                  <c:v>3.482022799719358</c:v>
                </c:pt>
                <c:pt idx="5">
                  <c:v>4.5443144307338939</c:v>
                </c:pt>
                <c:pt idx="6">
                  <c:v>4.7344022802742751</c:v>
                </c:pt>
                <c:pt idx="7">
                  <c:v>4.9489142013851586</c:v>
                </c:pt>
                <c:pt idx="8">
                  <c:v>0.21197651768814066</c:v>
                </c:pt>
                <c:pt idx="9">
                  <c:v>4.8845382448550811</c:v>
                </c:pt>
                <c:pt idx="10">
                  <c:v>2.4638167384621097</c:v>
                </c:pt>
                <c:pt idx="11">
                  <c:v>2.4638167384621097</c:v>
                </c:pt>
                <c:pt idx="12">
                  <c:v>2.4638167384621097</c:v>
                </c:pt>
                <c:pt idx="13">
                  <c:v>2.4638167384621097</c:v>
                </c:pt>
                <c:pt idx="14">
                  <c:v>2.4638167384621097</c:v>
                </c:pt>
                <c:pt idx="15">
                  <c:v>2.4638167384621097</c:v>
                </c:pt>
                <c:pt idx="16">
                  <c:v>2.4638167384621097</c:v>
                </c:pt>
                <c:pt idx="17">
                  <c:v>2.4638167384621097</c:v>
                </c:pt>
                <c:pt idx="18">
                  <c:v>2.4638167384621097</c:v>
                </c:pt>
                <c:pt idx="19">
                  <c:v>2.4638167384621097</c:v>
                </c:pt>
                <c:pt idx="20">
                  <c:v>2.4638167384621097</c:v>
                </c:pt>
                <c:pt idx="21">
                  <c:v>2.4638167384621097</c:v>
                </c:pt>
                <c:pt idx="22">
                  <c:v>2.4638167384621097</c:v>
                </c:pt>
                <c:pt idx="23">
                  <c:v>2.4638167384621097</c:v>
                </c:pt>
                <c:pt idx="24">
                  <c:v>2.4638167384621097</c:v>
                </c:pt>
                <c:pt idx="25">
                  <c:v>2.4638167384621097</c:v>
                </c:pt>
                <c:pt idx="26">
                  <c:v>2.4638167384621097</c:v>
                </c:pt>
                <c:pt idx="27">
                  <c:v>2.4638167384621097</c:v>
                </c:pt>
                <c:pt idx="28">
                  <c:v>2.4638167384621097</c:v>
                </c:pt>
                <c:pt idx="29">
                  <c:v>2.4638167384621097</c:v>
                </c:pt>
                <c:pt idx="30">
                  <c:v>2.4638167384621097</c:v>
                </c:pt>
                <c:pt idx="31">
                  <c:v>2.4638167384621097</c:v>
                </c:pt>
                <c:pt idx="32">
                  <c:v>2.4638167384621097</c:v>
                </c:pt>
                <c:pt idx="33">
                  <c:v>2.4638167384621097</c:v>
                </c:pt>
                <c:pt idx="34">
                  <c:v>2.4638167384621097</c:v>
                </c:pt>
                <c:pt idx="35">
                  <c:v>2.4638167384621097</c:v>
                </c:pt>
                <c:pt idx="36">
                  <c:v>2.4638167384621097</c:v>
                </c:pt>
                <c:pt idx="37">
                  <c:v>2.4638167384621097</c:v>
                </c:pt>
                <c:pt idx="38">
                  <c:v>2.4638167384621097</c:v>
                </c:pt>
                <c:pt idx="39">
                  <c:v>2.4638167384621097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4D1-4622-B793-ADC45472A5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3065696"/>
        <c:axId val="383066480"/>
      </c:scatterChart>
      <c:valAx>
        <c:axId val="3830656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83066480"/>
        <c:crosses val="autoZero"/>
        <c:crossBetween val="midCat"/>
      </c:valAx>
      <c:valAx>
        <c:axId val="383066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8306569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CH">
                <a:solidFill>
                  <a:srgbClr val="FF0000"/>
                </a:solidFill>
              </a:rPr>
              <a:t>FALL</a:t>
            </a:r>
            <a:r>
              <a:rPr lang="de-CH" baseline="0">
                <a:solidFill>
                  <a:srgbClr val="FF0000"/>
                </a:solidFill>
              </a:rPr>
              <a:t> 11: FUNKTION Y = e^(A*x^B)</a:t>
            </a:r>
            <a:endParaRPr lang="de-CH">
              <a:solidFill>
                <a:srgbClr val="FF0000"/>
              </a:solidFill>
            </a:endParaRPr>
          </a:p>
        </c:rich>
      </c:tx>
      <c:layout>
        <c:manualLayout>
          <c:xMode val="edge"/>
          <c:yMode val="edge"/>
          <c:x val="0.20049476574048936"/>
          <c:y val="7.763975155279503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6.1204218100868207E-2"/>
          <c:y val="8.6043836097735971E-2"/>
          <c:w val="0.90778886590733499"/>
          <c:h val="0.81546959832778365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'FALL 11'!$D$6:$D$44</c:f>
              <c:numCache>
                <c:formatCode>General</c:formatCode>
                <c:ptCount val="39"/>
                <c:pt idx="0">
                  <c:v>2.0794415429298359</c:v>
                </c:pt>
                <c:pt idx="1">
                  <c:v>1.9459101504838847</c:v>
                </c:pt>
                <c:pt idx="2">
                  <c:v>1.3862943636198906</c:v>
                </c:pt>
                <c:pt idx="3">
                  <c:v>0.91629073587415499</c:v>
                </c:pt>
                <c:pt idx="4">
                  <c:v>1.5040773989984964</c:v>
                </c:pt>
                <c:pt idx="5">
                  <c:v>2.302585093994046</c:v>
                </c:pt>
                <c:pt idx="6">
                  <c:v>2.4849066506213338</c:v>
                </c:pt>
                <c:pt idx="7">
                  <c:v>2.7080502017688768</c:v>
                </c:pt>
                <c:pt idx="8">
                  <c:v>0.40546511477483099</c:v>
                </c:pt>
                <c:pt idx="9">
                  <c:v>2.6390573303295444</c:v>
                </c:pt>
                <c:pt idx="10">
                  <c:v>9.9999998892252911E-9</c:v>
                </c:pt>
                <c:pt idx="11">
                  <c:v>9.9999998892252911E-9</c:v>
                </c:pt>
                <c:pt idx="12">
                  <c:v>9.9999998892252911E-9</c:v>
                </c:pt>
                <c:pt idx="13">
                  <c:v>9.9999998892252911E-9</c:v>
                </c:pt>
                <c:pt idx="14">
                  <c:v>9.9999998892252911E-9</c:v>
                </c:pt>
                <c:pt idx="15">
                  <c:v>9.9999998892252911E-9</c:v>
                </c:pt>
                <c:pt idx="16">
                  <c:v>9.9999998892252911E-9</c:v>
                </c:pt>
                <c:pt idx="17">
                  <c:v>9.9999998892252911E-9</c:v>
                </c:pt>
                <c:pt idx="18">
                  <c:v>9.9999998892252911E-9</c:v>
                </c:pt>
                <c:pt idx="19">
                  <c:v>9.9999998892252911E-9</c:v>
                </c:pt>
                <c:pt idx="20">
                  <c:v>9.9999998892252911E-9</c:v>
                </c:pt>
                <c:pt idx="21">
                  <c:v>9.9999998892252911E-9</c:v>
                </c:pt>
                <c:pt idx="22">
                  <c:v>9.9999998892252911E-9</c:v>
                </c:pt>
                <c:pt idx="23">
                  <c:v>9.9999998892252911E-9</c:v>
                </c:pt>
                <c:pt idx="24">
                  <c:v>9.9999998892252911E-9</c:v>
                </c:pt>
                <c:pt idx="25">
                  <c:v>9.9999998892252911E-9</c:v>
                </c:pt>
                <c:pt idx="26">
                  <c:v>9.9999998892252911E-9</c:v>
                </c:pt>
                <c:pt idx="27">
                  <c:v>9.9999998892252911E-9</c:v>
                </c:pt>
                <c:pt idx="28">
                  <c:v>9.9999998892252911E-9</c:v>
                </c:pt>
                <c:pt idx="29">
                  <c:v>9.9999998892252911E-9</c:v>
                </c:pt>
                <c:pt idx="30">
                  <c:v>9.9999998892252911E-9</c:v>
                </c:pt>
                <c:pt idx="31">
                  <c:v>9.9999998892252911E-9</c:v>
                </c:pt>
                <c:pt idx="32">
                  <c:v>9.9999998892252911E-9</c:v>
                </c:pt>
                <c:pt idx="33">
                  <c:v>9.9999998892252911E-9</c:v>
                </c:pt>
                <c:pt idx="34">
                  <c:v>9.9999998892252911E-9</c:v>
                </c:pt>
                <c:pt idx="35">
                  <c:v>9.9999998892252911E-9</c:v>
                </c:pt>
                <c:pt idx="36">
                  <c:v>9.9999998892252911E-9</c:v>
                </c:pt>
                <c:pt idx="37">
                  <c:v>9.9999998892252911E-9</c:v>
                </c:pt>
                <c:pt idx="38">
                  <c:v>9.9999998892252911E-9</c:v>
                </c:pt>
              </c:numCache>
            </c:numRef>
          </c:xVal>
          <c:yVal>
            <c:numRef>
              <c:f>'FALL 11'!$E$6:$E$44</c:f>
              <c:numCache>
                <c:formatCode>General</c:formatCode>
                <c:ptCount val="39"/>
                <c:pt idx="0">
                  <c:v>1.4252465486501478</c:v>
                </c:pt>
                <c:pt idx="1">
                  <c:v>1.3588769911434655</c:v>
                </c:pt>
                <c:pt idx="2">
                  <c:v>1.0197814405607684</c:v>
                </c:pt>
                <c:pt idx="3">
                  <c:v>0.60572560885649884</c:v>
                </c:pt>
                <c:pt idx="4">
                  <c:v>1.1013268654024799</c:v>
                </c:pt>
                <c:pt idx="5">
                  <c:v>1.5271796258100727</c:v>
                </c:pt>
                <c:pt idx="6">
                  <c:v>1.6033822739266685</c:v>
                </c:pt>
                <c:pt idx="7">
                  <c:v>1.6893760735121608</c:v>
                </c:pt>
                <c:pt idx="8">
                  <c:v>-0.20957327460986719</c:v>
                </c:pt>
                <c:pt idx="9">
                  <c:v>1.663568961838277</c:v>
                </c:pt>
                <c:pt idx="10">
                  <c:v>3.6787950456923556E-10</c:v>
                </c:pt>
                <c:pt idx="11">
                  <c:v>3.6787950456923556E-10</c:v>
                </c:pt>
                <c:pt idx="12">
                  <c:v>3.6787950456923556E-10</c:v>
                </c:pt>
                <c:pt idx="13">
                  <c:v>3.6787950456923556E-10</c:v>
                </c:pt>
                <c:pt idx="14">
                  <c:v>3.6787950456923556E-10</c:v>
                </c:pt>
                <c:pt idx="15">
                  <c:v>3.6787950456923556E-10</c:v>
                </c:pt>
                <c:pt idx="16">
                  <c:v>3.6787950456923556E-10</c:v>
                </c:pt>
                <c:pt idx="17">
                  <c:v>3.6787950456923556E-10</c:v>
                </c:pt>
                <c:pt idx="18">
                  <c:v>3.6787950456923556E-10</c:v>
                </c:pt>
                <c:pt idx="19">
                  <c:v>3.6787950456923556E-10</c:v>
                </c:pt>
                <c:pt idx="20">
                  <c:v>3.6787950456923556E-10</c:v>
                </c:pt>
                <c:pt idx="21">
                  <c:v>3.6787950456923556E-10</c:v>
                </c:pt>
                <c:pt idx="22">
                  <c:v>3.6787950456923556E-10</c:v>
                </c:pt>
                <c:pt idx="23">
                  <c:v>3.6787950456923556E-10</c:v>
                </c:pt>
                <c:pt idx="24">
                  <c:v>3.6787950456923556E-10</c:v>
                </c:pt>
                <c:pt idx="25">
                  <c:v>3.6787950456923556E-10</c:v>
                </c:pt>
                <c:pt idx="26">
                  <c:v>3.6787950456923556E-10</c:v>
                </c:pt>
                <c:pt idx="27">
                  <c:v>3.6787950456923556E-10</c:v>
                </c:pt>
                <c:pt idx="28">
                  <c:v>3.6787950456923556E-10</c:v>
                </c:pt>
                <c:pt idx="29">
                  <c:v>3.6787950456923556E-10</c:v>
                </c:pt>
                <c:pt idx="30">
                  <c:v>3.6787950456923556E-10</c:v>
                </c:pt>
                <c:pt idx="31">
                  <c:v>3.6787950456923556E-10</c:v>
                </c:pt>
                <c:pt idx="32">
                  <c:v>3.6787950456923556E-10</c:v>
                </c:pt>
                <c:pt idx="33">
                  <c:v>3.6787950456923556E-10</c:v>
                </c:pt>
                <c:pt idx="34">
                  <c:v>3.6787950456923556E-10</c:v>
                </c:pt>
                <c:pt idx="35">
                  <c:v>3.6787950456923556E-10</c:v>
                </c:pt>
                <c:pt idx="36">
                  <c:v>3.6787950456923556E-10</c:v>
                </c:pt>
                <c:pt idx="37">
                  <c:v>3.6787950456923556E-10</c:v>
                </c:pt>
                <c:pt idx="38">
                  <c:v>3.6787950456923556E-10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DF0-451D-AA5A-DAFA569980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3068832"/>
        <c:axId val="383073144"/>
      </c:scatterChart>
      <c:scatterChart>
        <c:scatterStyle val="smoothMarker"/>
        <c:varyColors val="0"/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'FALL 11'!$D$6:$D$44</c:f>
              <c:numCache>
                <c:formatCode>General</c:formatCode>
                <c:ptCount val="39"/>
                <c:pt idx="0">
                  <c:v>2.0794415429298359</c:v>
                </c:pt>
                <c:pt idx="1">
                  <c:v>1.9459101504838847</c:v>
                </c:pt>
                <c:pt idx="2">
                  <c:v>1.3862943636198906</c:v>
                </c:pt>
                <c:pt idx="3">
                  <c:v>0.91629073587415499</c:v>
                </c:pt>
                <c:pt idx="4">
                  <c:v>1.5040773989984964</c:v>
                </c:pt>
                <c:pt idx="5">
                  <c:v>2.302585093994046</c:v>
                </c:pt>
                <c:pt idx="6">
                  <c:v>2.4849066506213338</c:v>
                </c:pt>
                <c:pt idx="7">
                  <c:v>2.7080502017688768</c:v>
                </c:pt>
                <c:pt idx="8">
                  <c:v>0.40546511477483099</c:v>
                </c:pt>
                <c:pt idx="9">
                  <c:v>2.6390573303295444</c:v>
                </c:pt>
                <c:pt idx="10">
                  <c:v>9.9999998892252911E-9</c:v>
                </c:pt>
                <c:pt idx="11">
                  <c:v>9.9999998892252911E-9</c:v>
                </c:pt>
                <c:pt idx="12">
                  <c:v>9.9999998892252911E-9</c:v>
                </c:pt>
                <c:pt idx="13">
                  <c:v>9.9999998892252911E-9</c:v>
                </c:pt>
                <c:pt idx="14">
                  <c:v>9.9999998892252911E-9</c:v>
                </c:pt>
                <c:pt idx="15">
                  <c:v>9.9999998892252911E-9</c:v>
                </c:pt>
                <c:pt idx="16">
                  <c:v>9.9999998892252911E-9</c:v>
                </c:pt>
                <c:pt idx="17">
                  <c:v>9.9999998892252911E-9</c:v>
                </c:pt>
                <c:pt idx="18">
                  <c:v>9.9999998892252911E-9</c:v>
                </c:pt>
                <c:pt idx="19">
                  <c:v>9.9999998892252911E-9</c:v>
                </c:pt>
                <c:pt idx="20">
                  <c:v>9.9999998892252911E-9</c:v>
                </c:pt>
                <c:pt idx="21">
                  <c:v>9.9999998892252911E-9</c:v>
                </c:pt>
                <c:pt idx="22">
                  <c:v>9.9999998892252911E-9</c:v>
                </c:pt>
                <c:pt idx="23">
                  <c:v>9.9999998892252911E-9</c:v>
                </c:pt>
                <c:pt idx="24">
                  <c:v>9.9999998892252911E-9</c:v>
                </c:pt>
                <c:pt idx="25">
                  <c:v>9.9999998892252911E-9</c:v>
                </c:pt>
                <c:pt idx="26">
                  <c:v>9.9999998892252911E-9</c:v>
                </c:pt>
                <c:pt idx="27">
                  <c:v>9.9999998892252911E-9</c:v>
                </c:pt>
                <c:pt idx="28">
                  <c:v>9.9999998892252911E-9</c:v>
                </c:pt>
                <c:pt idx="29">
                  <c:v>9.9999998892252911E-9</c:v>
                </c:pt>
                <c:pt idx="30">
                  <c:v>9.9999998892252911E-9</c:v>
                </c:pt>
                <c:pt idx="31">
                  <c:v>9.9999998892252911E-9</c:v>
                </c:pt>
                <c:pt idx="32">
                  <c:v>9.9999998892252911E-9</c:v>
                </c:pt>
                <c:pt idx="33">
                  <c:v>9.9999998892252911E-9</c:v>
                </c:pt>
                <c:pt idx="34">
                  <c:v>9.9999998892252911E-9</c:v>
                </c:pt>
                <c:pt idx="35">
                  <c:v>9.9999998892252911E-9</c:v>
                </c:pt>
                <c:pt idx="36">
                  <c:v>9.9999998892252911E-9</c:v>
                </c:pt>
                <c:pt idx="37">
                  <c:v>9.9999998892252911E-9</c:v>
                </c:pt>
                <c:pt idx="38">
                  <c:v>9.9999998892252911E-9</c:v>
                </c:pt>
              </c:numCache>
            </c:numRef>
          </c:xVal>
          <c:yVal>
            <c:numRef>
              <c:f>'FALL 11'!$F$6:$F$44</c:f>
              <c:numCache>
                <c:formatCode>General</c:formatCode>
                <c:ptCount val="39"/>
                <c:pt idx="0">
                  <c:v>1.3589004713727439</c:v>
                </c:pt>
                <c:pt idx="1">
                  <c:v>1.2594576403143727</c:v>
                </c:pt>
                <c:pt idx="2">
                  <c:v>0.84270336880204422</c:v>
                </c:pt>
                <c:pt idx="3">
                  <c:v>0.49268461604830621</c:v>
                </c:pt>
                <c:pt idx="4">
                  <c:v>0.93041816220088791</c:v>
                </c:pt>
                <c:pt idx="5">
                  <c:v>1.5250788211897057</c:v>
                </c:pt>
                <c:pt idx="6">
                  <c:v>1.6608564193575155</c:v>
                </c:pt>
                <c:pt idx="7">
                  <c:v>1.8270347691744775</c:v>
                </c:pt>
                <c:pt idx="8">
                  <c:v>0.11226511164541668</c:v>
                </c:pt>
                <c:pt idx="9">
                  <c:v>1.7756547428850722</c:v>
                </c:pt>
                <c:pt idx="10">
                  <c:v>-0.18969083633935502</c:v>
                </c:pt>
                <c:pt idx="11">
                  <c:v>-0.18969083633935502</c:v>
                </c:pt>
                <c:pt idx="12">
                  <c:v>-0.18969083633935502</c:v>
                </c:pt>
                <c:pt idx="13">
                  <c:v>-0.18969083633935502</c:v>
                </c:pt>
                <c:pt idx="14">
                  <c:v>-0.18969083633935502</c:v>
                </c:pt>
                <c:pt idx="15">
                  <c:v>-0.18969083633935502</c:v>
                </c:pt>
                <c:pt idx="16">
                  <c:v>-0.18969083633935502</c:v>
                </c:pt>
                <c:pt idx="17">
                  <c:v>-0.18969083633935502</c:v>
                </c:pt>
                <c:pt idx="18">
                  <c:v>-0.18969083633935502</c:v>
                </c:pt>
                <c:pt idx="19">
                  <c:v>-0.18969083633935502</c:v>
                </c:pt>
                <c:pt idx="20">
                  <c:v>-0.18969083633935502</c:v>
                </c:pt>
                <c:pt idx="21">
                  <c:v>-0.18969083633935502</c:v>
                </c:pt>
                <c:pt idx="22">
                  <c:v>-0.18969083633935502</c:v>
                </c:pt>
                <c:pt idx="23">
                  <c:v>-0.18969083633935502</c:v>
                </c:pt>
                <c:pt idx="24">
                  <c:v>-0.18969083633935502</c:v>
                </c:pt>
                <c:pt idx="25">
                  <c:v>-0.18969083633935502</c:v>
                </c:pt>
                <c:pt idx="26">
                  <c:v>-0.18969083633935502</c:v>
                </c:pt>
                <c:pt idx="27">
                  <c:v>-0.18969083633935502</c:v>
                </c:pt>
                <c:pt idx="28">
                  <c:v>-0.18969083633935502</c:v>
                </c:pt>
                <c:pt idx="29">
                  <c:v>-0.18969083633935502</c:v>
                </c:pt>
                <c:pt idx="30">
                  <c:v>-0.18969083633935502</c:v>
                </c:pt>
                <c:pt idx="31">
                  <c:v>-0.18969083633935502</c:v>
                </c:pt>
                <c:pt idx="32">
                  <c:v>-0.18969083633935502</c:v>
                </c:pt>
                <c:pt idx="33">
                  <c:v>-0.18969083633935502</c:v>
                </c:pt>
                <c:pt idx="34">
                  <c:v>-0.18969083633935502</c:v>
                </c:pt>
                <c:pt idx="35">
                  <c:v>-0.18969083633935502</c:v>
                </c:pt>
                <c:pt idx="36">
                  <c:v>-0.18969083633935502</c:v>
                </c:pt>
                <c:pt idx="37">
                  <c:v>-0.18969083633935502</c:v>
                </c:pt>
                <c:pt idx="38">
                  <c:v>-0.18969083633935502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DF0-451D-AA5A-DAFA569980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3068832"/>
        <c:axId val="383073144"/>
      </c:scatterChart>
      <c:valAx>
        <c:axId val="3830688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83073144"/>
        <c:crosses val="autoZero"/>
        <c:crossBetween val="midCat"/>
      </c:valAx>
      <c:valAx>
        <c:axId val="383073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8306883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r>
              <a:rPr lang="de-CH">
                <a:solidFill>
                  <a:srgbClr val="FF0000"/>
                </a:solidFill>
              </a:rPr>
              <a:t>FALL</a:t>
            </a:r>
            <a:r>
              <a:rPr lang="de-CH" baseline="0">
                <a:solidFill>
                  <a:srgbClr val="FF0000"/>
                </a:solidFill>
              </a:rPr>
              <a:t> 12: FUNKTION Y = e^[A*(lnIxI)^B]</a:t>
            </a:r>
            <a:endParaRPr lang="de-CH">
              <a:solidFill>
                <a:srgbClr val="FF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rgbClr val="FF0000"/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Messwerte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'FALL 12'!$D$9:$D$48</c:f>
              <c:numCache>
                <c:formatCode>General</c:formatCode>
                <c:ptCount val="40"/>
                <c:pt idx="0">
                  <c:v>-8.6985211627783721E-2</c:v>
                </c:pt>
                <c:pt idx="1">
                  <c:v>0.4083274040352361</c:v>
                </c:pt>
                <c:pt idx="2">
                  <c:v>0.83407587158188146</c:v>
                </c:pt>
                <c:pt idx="3">
                  <c:v>0.91026862720617829</c:v>
                </c:pt>
                <c:pt idx="4">
                  <c:v>0.99625350978604055</c:v>
                </c:pt>
                <c:pt idx="5">
                  <c:v>-0.90107815055528995</c:v>
                </c:pt>
                <c:pt idx="6">
                  <c:v>0.97044884588606961</c:v>
                </c:pt>
                <c:pt idx="7">
                  <c:v>3.677441639463942E-4</c:v>
                </c:pt>
                <c:pt idx="8">
                  <c:v>3.677441639463942E-4</c:v>
                </c:pt>
                <c:pt idx="9">
                  <c:v>3.677441639463942E-4</c:v>
                </c:pt>
                <c:pt idx="10">
                  <c:v>3.677441639463942E-4</c:v>
                </c:pt>
                <c:pt idx="11">
                  <c:v>3.677441639463942E-4</c:v>
                </c:pt>
                <c:pt idx="12">
                  <c:v>3.677441639463942E-4</c:v>
                </c:pt>
                <c:pt idx="13">
                  <c:v>3.677441639463942E-4</c:v>
                </c:pt>
                <c:pt idx="14">
                  <c:v>3.677441639463942E-4</c:v>
                </c:pt>
                <c:pt idx="15">
                  <c:v>3.677441639463942E-4</c:v>
                </c:pt>
                <c:pt idx="16">
                  <c:v>3.677441639463942E-4</c:v>
                </c:pt>
                <c:pt idx="17">
                  <c:v>3.677441639463942E-4</c:v>
                </c:pt>
                <c:pt idx="18">
                  <c:v>3.677441639463942E-4</c:v>
                </c:pt>
                <c:pt idx="19">
                  <c:v>3.677441639463942E-4</c:v>
                </c:pt>
                <c:pt idx="20">
                  <c:v>3.677441639463942E-4</c:v>
                </c:pt>
                <c:pt idx="21">
                  <c:v>3.677441639463942E-4</c:v>
                </c:pt>
                <c:pt idx="22">
                  <c:v>3.677441639463942E-4</c:v>
                </c:pt>
                <c:pt idx="23">
                  <c:v>3.677441639463942E-4</c:v>
                </c:pt>
                <c:pt idx="24">
                  <c:v>3.677441639463942E-4</c:v>
                </c:pt>
                <c:pt idx="25">
                  <c:v>3.677441639463942E-4</c:v>
                </c:pt>
                <c:pt idx="26">
                  <c:v>3.677441639463942E-4</c:v>
                </c:pt>
                <c:pt idx="27">
                  <c:v>3.677441639463942E-4</c:v>
                </c:pt>
                <c:pt idx="28">
                  <c:v>3.677441639463942E-4</c:v>
                </c:pt>
                <c:pt idx="29">
                  <c:v>3.677441639463942E-4</c:v>
                </c:pt>
                <c:pt idx="30">
                  <c:v>3.677441639463942E-4</c:v>
                </c:pt>
                <c:pt idx="31">
                  <c:v>3.677441639463942E-4</c:v>
                </c:pt>
                <c:pt idx="32">
                  <c:v>3.677441639463942E-4</c:v>
                </c:pt>
                <c:pt idx="33">
                  <c:v>3.677441639463942E-4</c:v>
                </c:pt>
                <c:pt idx="34">
                  <c:v>3.677441639463942E-4</c:v>
                </c:pt>
                <c:pt idx="35">
                  <c:v>3.677441639463942E-4</c:v>
                </c:pt>
                <c:pt idx="36">
                  <c:v>3.677441639463942E-4</c:v>
                </c:pt>
              </c:numCache>
            </c:numRef>
          </c:xVal>
          <c:yVal>
            <c:numRef>
              <c:f>'FALL 12'!$E$9:$E$48</c:f>
              <c:numCache>
                <c:formatCode>General</c:formatCode>
                <c:ptCount val="40"/>
                <c:pt idx="0">
                  <c:v>0.60581290650812902</c:v>
                </c:pt>
                <c:pt idx="1">
                  <c:v>1.1013432811275519</c:v>
                </c:pt>
                <c:pt idx="2">
                  <c:v>1.5271817972670956</c:v>
                </c:pt>
                <c:pt idx="3">
                  <c:v>1.6033836712444585</c:v>
                </c:pt>
                <c:pt idx="4">
                  <c:v>1.6893768941077867</c:v>
                </c:pt>
                <c:pt idx="5">
                  <c:v>-0.20902547954595704</c:v>
                </c:pt>
                <c:pt idx="6">
                  <c:v>1.6635699284751466</c:v>
                </c:pt>
                <c:pt idx="7">
                  <c:v>3.677441639463942E-4</c:v>
                </c:pt>
                <c:pt idx="8">
                  <c:v>3.677441639463942E-4</c:v>
                </c:pt>
                <c:pt idx="9">
                  <c:v>3.677441639463942E-4</c:v>
                </c:pt>
                <c:pt idx="10">
                  <c:v>3.677441639463942E-4</c:v>
                </c:pt>
                <c:pt idx="11">
                  <c:v>3.677441639463942E-4</c:v>
                </c:pt>
                <c:pt idx="12">
                  <c:v>3.677441639463942E-4</c:v>
                </c:pt>
                <c:pt idx="13">
                  <c:v>3.677441639463942E-4</c:v>
                </c:pt>
                <c:pt idx="14">
                  <c:v>3.677441639463942E-4</c:v>
                </c:pt>
                <c:pt idx="15">
                  <c:v>3.677441639463942E-4</c:v>
                </c:pt>
                <c:pt idx="16">
                  <c:v>3.677441639463942E-4</c:v>
                </c:pt>
                <c:pt idx="17">
                  <c:v>3.677441639463942E-4</c:v>
                </c:pt>
                <c:pt idx="18">
                  <c:v>3.677441639463942E-4</c:v>
                </c:pt>
                <c:pt idx="19">
                  <c:v>3.677441639463942E-4</c:v>
                </c:pt>
                <c:pt idx="20">
                  <c:v>3.677441639463942E-4</c:v>
                </c:pt>
                <c:pt idx="21">
                  <c:v>3.677441639463942E-4</c:v>
                </c:pt>
                <c:pt idx="22">
                  <c:v>3.677441639463942E-4</c:v>
                </c:pt>
                <c:pt idx="23">
                  <c:v>3.677441639463942E-4</c:v>
                </c:pt>
                <c:pt idx="24">
                  <c:v>3.677441639463942E-4</c:v>
                </c:pt>
                <c:pt idx="25">
                  <c:v>3.677441639463942E-4</c:v>
                </c:pt>
                <c:pt idx="26">
                  <c:v>3.677441639463942E-4</c:v>
                </c:pt>
                <c:pt idx="27">
                  <c:v>3.677441639463942E-4</c:v>
                </c:pt>
                <c:pt idx="28">
                  <c:v>3.677441639463942E-4</c:v>
                </c:pt>
                <c:pt idx="29">
                  <c:v>3.677441639463942E-4</c:v>
                </c:pt>
                <c:pt idx="30">
                  <c:v>3.677441639463942E-4</c:v>
                </c:pt>
                <c:pt idx="31">
                  <c:v>3.677441639463942E-4</c:v>
                </c:pt>
                <c:pt idx="32">
                  <c:v>3.677441639463942E-4</c:v>
                </c:pt>
                <c:pt idx="33">
                  <c:v>3.677441639463942E-4</c:v>
                </c:pt>
                <c:pt idx="34">
                  <c:v>3.677441639463942E-4</c:v>
                </c:pt>
                <c:pt idx="35">
                  <c:v>3.677441639463942E-4</c:v>
                </c:pt>
                <c:pt idx="36">
                  <c:v>3.677441639463942E-4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B63-4F0F-BF24-E99C28A071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80437592"/>
        <c:axId val="580443824"/>
      </c:scatterChart>
      <c:scatterChart>
        <c:scatterStyle val="smoothMarker"/>
        <c:varyColors val="0"/>
        <c:ser>
          <c:idx val="1"/>
          <c:order val="1"/>
          <c:tx>
            <c:v>Funktionsgerade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'FALL 12'!$D$9:$D$48</c:f>
              <c:numCache>
                <c:formatCode>General</c:formatCode>
                <c:ptCount val="40"/>
                <c:pt idx="0">
                  <c:v>-8.6985211627783721E-2</c:v>
                </c:pt>
                <c:pt idx="1">
                  <c:v>0.4083274040352361</c:v>
                </c:pt>
                <c:pt idx="2">
                  <c:v>0.83407587158188146</c:v>
                </c:pt>
                <c:pt idx="3">
                  <c:v>0.91026862720617829</c:v>
                </c:pt>
                <c:pt idx="4">
                  <c:v>0.99625350978604055</c:v>
                </c:pt>
                <c:pt idx="5">
                  <c:v>-0.90107815055528995</c:v>
                </c:pt>
                <c:pt idx="6">
                  <c:v>0.97044884588606961</c:v>
                </c:pt>
                <c:pt idx="7">
                  <c:v>3.677441639463942E-4</c:v>
                </c:pt>
                <c:pt idx="8">
                  <c:v>3.677441639463942E-4</c:v>
                </c:pt>
                <c:pt idx="9">
                  <c:v>3.677441639463942E-4</c:v>
                </c:pt>
                <c:pt idx="10">
                  <c:v>3.677441639463942E-4</c:v>
                </c:pt>
                <c:pt idx="11">
                  <c:v>3.677441639463942E-4</c:v>
                </c:pt>
                <c:pt idx="12">
                  <c:v>3.677441639463942E-4</c:v>
                </c:pt>
                <c:pt idx="13">
                  <c:v>3.677441639463942E-4</c:v>
                </c:pt>
                <c:pt idx="14">
                  <c:v>3.677441639463942E-4</c:v>
                </c:pt>
                <c:pt idx="15">
                  <c:v>3.677441639463942E-4</c:v>
                </c:pt>
                <c:pt idx="16">
                  <c:v>3.677441639463942E-4</c:v>
                </c:pt>
                <c:pt idx="17">
                  <c:v>3.677441639463942E-4</c:v>
                </c:pt>
                <c:pt idx="18">
                  <c:v>3.677441639463942E-4</c:v>
                </c:pt>
                <c:pt idx="19">
                  <c:v>3.677441639463942E-4</c:v>
                </c:pt>
                <c:pt idx="20">
                  <c:v>3.677441639463942E-4</c:v>
                </c:pt>
                <c:pt idx="21">
                  <c:v>3.677441639463942E-4</c:v>
                </c:pt>
                <c:pt idx="22">
                  <c:v>3.677441639463942E-4</c:v>
                </c:pt>
                <c:pt idx="23">
                  <c:v>3.677441639463942E-4</c:v>
                </c:pt>
                <c:pt idx="24">
                  <c:v>3.677441639463942E-4</c:v>
                </c:pt>
                <c:pt idx="25">
                  <c:v>3.677441639463942E-4</c:v>
                </c:pt>
                <c:pt idx="26">
                  <c:v>3.677441639463942E-4</c:v>
                </c:pt>
                <c:pt idx="27">
                  <c:v>3.677441639463942E-4</c:v>
                </c:pt>
                <c:pt idx="28">
                  <c:v>3.677441639463942E-4</c:v>
                </c:pt>
                <c:pt idx="29">
                  <c:v>3.677441639463942E-4</c:v>
                </c:pt>
                <c:pt idx="30">
                  <c:v>3.677441639463942E-4</c:v>
                </c:pt>
                <c:pt idx="31">
                  <c:v>3.677441639463942E-4</c:v>
                </c:pt>
                <c:pt idx="32">
                  <c:v>3.677441639463942E-4</c:v>
                </c:pt>
                <c:pt idx="33">
                  <c:v>3.677441639463942E-4</c:v>
                </c:pt>
                <c:pt idx="34">
                  <c:v>3.677441639463942E-4</c:v>
                </c:pt>
                <c:pt idx="35">
                  <c:v>3.677441639463942E-4</c:v>
                </c:pt>
                <c:pt idx="36">
                  <c:v>3.677441639463942E-4</c:v>
                </c:pt>
              </c:numCache>
            </c:numRef>
          </c:xVal>
          <c:yVal>
            <c:numRef>
              <c:f>'FALL 12'!$F$9:$F$48</c:f>
              <c:numCache>
                <c:formatCode>General</c:formatCode>
                <c:ptCount val="40"/>
                <c:pt idx="0">
                  <c:v>0.60707239376884947</c:v>
                </c:pt>
                <c:pt idx="1">
                  <c:v>1.1014716529685868</c:v>
                </c:pt>
                <c:pt idx="2">
                  <c:v>1.5264350403410762</c:v>
                </c:pt>
                <c:pt idx="3">
                  <c:v>1.6024872965240018</c:v>
                </c:pt>
                <c:pt idx="4">
                  <c:v>1.6883136229803868</c:v>
                </c:pt>
                <c:pt idx="5">
                  <c:v>-0.20551935777927441</c:v>
                </c:pt>
                <c:pt idx="6">
                  <c:v>1.6625565428806475</c:v>
                </c:pt>
                <c:pt idx="7">
                  <c:v>0.69426427071009966</c:v>
                </c:pt>
                <c:pt idx="8">
                  <c:v>0.69426427071009966</c:v>
                </c:pt>
                <c:pt idx="9">
                  <c:v>0.69426427071009966</c:v>
                </c:pt>
                <c:pt idx="10">
                  <c:v>0.69426427071009966</c:v>
                </c:pt>
                <c:pt idx="11">
                  <c:v>0.69426427071009966</c:v>
                </c:pt>
                <c:pt idx="12">
                  <c:v>0.69426427071009966</c:v>
                </c:pt>
                <c:pt idx="13">
                  <c:v>0.69426427071009966</c:v>
                </c:pt>
                <c:pt idx="14">
                  <c:v>0.69426427071009966</c:v>
                </c:pt>
                <c:pt idx="15">
                  <c:v>0.69426427071009966</c:v>
                </c:pt>
                <c:pt idx="16">
                  <c:v>0.69426427071009966</c:v>
                </c:pt>
                <c:pt idx="17">
                  <c:v>0.69426427071009966</c:v>
                </c:pt>
                <c:pt idx="18">
                  <c:v>0.69426427071009966</c:v>
                </c:pt>
                <c:pt idx="19">
                  <c:v>0.69426427071009966</c:v>
                </c:pt>
                <c:pt idx="20">
                  <c:v>0.69426427071009966</c:v>
                </c:pt>
                <c:pt idx="21">
                  <c:v>0.69426427071009966</c:v>
                </c:pt>
                <c:pt idx="22">
                  <c:v>0.69426427071009966</c:v>
                </c:pt>
                <c:pt idx="23">
                  <c:v>0.69426427071009966</c:v>
                </c:pt>
                <c:pt idx="24">
                  <c:v>0.69426427071009966</c:v>
                </c:pt>
                <c:pt idx="25">
                  <c:v>0.69426427071009966</c:v>
                </c:pt>
                <c:pt idx="26">
                  <c:v>0.69426427071009966</c:v>
                </c:pt>
                <c:pt idx="27">
                  <c:v>0.69426427071009966</c:v>
                </c:pt>
                <c:pt idx="28">
                  <c:v>0.69426427071009966</c:v>
                </c:pt>
                <c:pt idx="29">
                  <c:v>0.69426427071009966</c:v>
                </c:pt>
                <c:pt idx="30">
                  <c:v>0.69426427071009966</c:v>
                </c:pt>
                <c:pt idx="31">
                  <c:v>0.69426427071009966</c:v>
                </c:pt>
                <c:pt idx="32">
                  <c:v>0.69426427071009966</c:v>
                </c:pt>
                <c:pt idx="33">
                  <c:v>0.69426427071009966</c:v>
                </c:pt>
                <c:pt idx="34">
                  <c:v>0.69426427071009966</c:v>
                </c:pt>
                <c:pt idx="35">
                  <c:v>0.69426427071009966</c:v>
                </c:pt>
                <c:pt idx="36">
                  <c:v>0.69426427071009966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B63-4F0F-BF24-E99C28A071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80437592"/>
        <c:axId val="580443824"/>
      </c:scatterChart>
      <c:valAx>
        <c:axId val="5804375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80443824"/>
        <c:crosses val="autoZero"/>
        <c:crossBetween val="midCat"/>
      </c:valAx>
      <c:valAx>
        <c:axId val="580443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8043759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</xdr:colOff>
      <xdr:row>15</xdr:row>
      <xdr:rowOff>60960</xdr:rowOff>
    </xdr:from>
    <xdr:to>
      <xdr:col>5</xdr:col>
      <xdr:colOff>891540</xdr:colOff>
      <xdr:row>44</xdr:row>
      <xdr:rowOff>144780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68580</xdr:colOff>
      <xdr:row>15</xdr:row>
      <xdr:rowOff>38100</xdr:rowOff>
    </xdr:from>
    <xdr:to>
      <xdr:col>5</xdr:col>
      <xdr:colOff>876300</xdr:colOff>
      <xdr:row>44</xdr:row>
      <xdr:rowOff>167640</xdr:rowOff>
    </xdr:to>
    <xdr:graphicFrame macro="">
      <xdr:nvGraphicFramePr>
        <xdr:cNvPr id="7" name="Diagramm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</xdr:colOff>
      <xdr:row>15</xdr:row>
      <xdr:rowOff>30480</xdr:rowOff>
    </xdr:from>
    <xdr:to>
      <xdr:col>5</xdr:col>
      <xdr:colOff>777240</xdr:colOff>
      <xdr:row>44</xdr:row>
      <xdr:rowOff>152400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15</xdr:row>
      <xdr:rowOff>22860</xdr:rowOff>
    </xdr:from>
    <xdr:to>
      <xdr:col>5</xdr:col>
      <xdr:colOff>1135380</xdr:colOff>
      <xdr:row>44</xdr:row>
      <xdr:rowOff>167640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60960</xdr:colOff>
      <xdr:row>15</xdr:row>
      <xdr:rowOff>30480</xdr:rowOff>
    </xdr:from>
    <xdr:to>
      <xdr:col>5</xdr:col>
      <xdr:colOff>1196340</xdr:colOff>
      <xdr:row>44</xdr:row>
      <xdr:rowOff>144780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</xdr:colOff>
      <xdr:row>15</xdr:row>
      <xdr:rowOff>45720</xdr:rowOff>
    </xdr:from>
    <xdr:to>
      <xdr:col>5</xdr:col>
      <xdr:colOff>998220</xdr:colOff>
      <xdr:row>44</xdr:row>
      <xdr:rowOff>152400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</xdr:colOff>
      <xdr:row>15</xdr:row>
      <xdr:rowOff>53340</xdr:rowOff>
    </xdr:from>
    <xdr:to>
      <xdr:col>5</xdr:col>
      <xdr:colOff>1211580</xdr:colOff>
      <xdr:row>44</xdr:row>
      <xdr:rowOff>167640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60961</xdr:rowOff>
    </xdr:from>
    <xdr:to>
      <xdr:col>5</xdr:col>
      <xdr:colOff>602902</xdr:colOff>
      <xdr:row>44</xdr:row>
      <xdr:rowOff>142352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83820</xdr:colOff>
      <xdr:row>15</xdr:row>
      <xdr:rowOff>60960</xdr:rowOff>
    </xdr:from>
    <xdr:to>
      <xdr:col>5</xdr:col>
      <xdr:colOff>998220</xdr:colOff>
      <xdr:row>44</xdr:row>
      <xdr:rowOff>167640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781F738C-FE5C-451A-ABD5-FEF0B7F84EA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oekopriority.com/upload/download/STATISTIK_Abfrage_des_Konfidenzintervalls_fuer_den_Mittelwert.zip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51"/>
  <sheetViews>
    <sheetView tabSelected="1" zoomScaleNormal="98" workbookViewId="0">
      <selection activeCell="L8" sqref="L8"/>
    </sheetView>
  </sheetViews>
  <sheetFormatPr baseColWidth="10" defaultRowHeight="14.4" x14ac:dyDescent="0.3"/>
  <cols>
    <col min="1" max="1" width="12" style="8" customWidth="1"/>
    <col min="2" max="2" width="14.109375" style="8" customWidth="1"/>
    <col min="3" max="3" width="12.6640625" style="8" customWidth="1"/>
    <col min="4" max="4" width="10.109375" style="8" customWidth="1"/>
    <col min="5" max="5" width="10.6640625" style="8" customWidth="1"/>
    <col min="6" max="6" width="11.88671875" style="8" customWidth="1"/>
    <col min="7" max="8" width="21.109375" style="8" customWidth="1"/>
    <col min="9" max="9" width="19" style="8" customWidth="1"/>
    <col min="10" max="10" width="17.44140625" style="8" customWidth="1"/>
    <col min="11" max="16384" width="11.5546875" style="8"/>
  </cols>
  <sheetData>
    <row r="1" spans="1:19" ht="25.65" customHeight="1" thickTop="1" x14ac:dyDescent="0.35">
      <c r="A1" s="1" t="s">
        <v>84</v>
      </c>
      <c r="B1" s="2"/>
      <c r="C1" s="2"/>
      <c r="D1" s="2"/>
      <c r="E1" s="2"/>
      <c r="F1" s="3"/>
      <c r="G1" s="4" t="s">
        <v>33</v>
      </c>
      <c r="H1" s="4" t="s">
        <v>24</v>
      </c>
      <c r="I1" s="5" t="s">
        <v>90</v>
      </c>
      <c r="J1" s="6"/>
      <c r="K1" s="7"/>
      <c r="L1" s="7"/>
    </row>
    <row r="2" spans="1:19" ht="19.2" customHeight="1" thickBot="1" x14ac:dyDescent="0.4">
      <c r="A2" s="9"/>
      <c r="B2" s="10"/>
      <c r="C2" s="10"/>
      <c r="D2" s="10"/>
      <c r="E2" s="10"/>
      <c r="F2" s="11"/>
      <c r="G2" s="12"/>
      <c r="H2" s="13"/>
      <c r="I2" s="14"/>
      <c r="J2" s="15"/>
      <c r="K2" s="7"/>
      <c r="L2" s="7"/>
      <c r="M2" s="16"/>
      <c r="N2" s="16"/>
      <c r="O2" s="16"/>
      <c r="P2" s="16"/>
      <c r="Q2" s="16"/>
      <c r="R2" s="16"/>
      <c r="S2" s="7"/>
    </row>
    <row r="3" spans="1:19" ht="15" thickTop="1" x14ac:dyDescent="0.3">
      <c r="A3" s="17" t="s">
        <v>49</v>
      </c>
      <c r="B3" s="18"/>
      <c r="C3" s="19"/>
      <c r="D3" s="20"/>
      <c r="E3" s="21" t="s">
        <v>49</v>
      </c>
      <c r="F3" s="22"/>
      <c r="G3" s="23">
        <v>1</v>
      </c>
      <c r="H3" s="24" t="s">
        <v>25</v>
      </c>
      <c r="I3" s="25">
        <f>'FALL 1'!$C$56</f>
        <v>0.97662400000000005</v>
      </c>
      <c r="J3" s="26"/>
      <c r="K3" s="7"/>
      <c r="L3" s="27"/>
      <c r="M3" s="7"/>
      <c r="N3" s="7"/>
      <c r="O3" s="7"/>
      <c r="P3" s="7"/>
      <c r="Q3" s="7"/>
      <c r="R3" s="7"/>
      <c r="S3" s="7"/>
    </row>
    <row r="4" spans="1:19" x14ac:dyDescent="0.3">
      <c r="A4" s="265" t="s">
        <v>87</v>
      </c>
      <c r="B4" s="266"/>
      <c r="C4" s="267" t="s">
        <v>89</v>
      </c>
      <c r="D4" s="268"/>
      <c r="E4" s="28" t="s">
        <v>88</v>
      </c>
      <c r="F4" s="29"/>
      <c r="G4" s="24">
        <v>2</v>
      </c>
      <c r="H4" s="24" t="s">
        <v>26</v>
      </c>
      <c r="I4" s="30">
        <f>'FALL 2'!$C$56</f>
        <v>0.87385900000000005</v>
      </c>
      <c r="J4" s="26"/>
      <c r="K4" s="31"/>
      <c r="L4" s="32"/>
    </row>
    <row r="5" spans="1:19" ht="15" thickBot="1" x14ac:dyDescent="0.35">
      <c r="A5" s="265" t="s">
        <v>85</v>
      </c>
      <c r="B5" s="266"/>
      <c r="C5" s="33" t="s">
        <v>8</v>
      </c>
      <c r="D5" s="34" t="s">
        <v>9</v>
      </c>
      <c r="E5" s="35" t="s">
        <v>86</v>
      </c>
      <c r="F5" s="36"/>
      <c r="G5" s="24">
        <v>5</v>
      </c>
      <c r="H5" s="24" t="s">
        <v>29</v>
      </c>
      <c r="I5" s="30">
        <f>'FALL 5'!$C$55</f>
        <v>0.73691600000000002</v>
      </c>
      <c r="J5" s="26"/>
      <c r="K5" s="27"/>
      <c r="L5" s="32"/>
    </row>
    <row r="6" spans="1:19" ht="15" thickTop="1" x14ac:dyDescent="0.3">
      <c r="A6" s="114">
        <v>8</v>
      </c>
      <c r="B6" s="115">
        <v>8</v>
      </c>
      <c r="C6" s="116">
        <v>8</v>
      </c>
      <c r="D6" s="117">
        <v>64</v>
      </c>
      <c r="E6" s="118">
        <v>64</v>
      </c>
      <c r="F6" s="115">
        <v>64</v>
      </c>
      <c r="G6" s="24">
        <v>7</v>
      </c>
      <c r="H6" s="24" t="s">
        <v>27</v>
      </c>
      <c r="I6" s="30">
        <f>'FALL 7'!$C$56</f>
        <v>0.955152</v>
      </c>
      <c r="J6" s="26"/>
      <c r="K6" s="37"/>
      <c r="L6" s="37"/>
      <c r="M6" s="38"/>
    </row>
    <row r="7" spans="1:19" x14ac:dyDescent="0.3">
      <c r="A7" s="119">
        <v>7</v>
      </c>
      <c r="B7" s="120">
        <v>7</v>
      </c>
      <c r="C7" s="121">
        <v>7</v>
      </c>
      <c r="D7" s="122">
        <v>49</v>
      </c>
      <c r="E7" s="123">
        <v>49</v>
      </c>
      <c r="F7" s="120">
        <v>49</v>
      </c>
      <c r="G7" s="24">
        <v>8</v>
      </c>
      <c r="H7" s="24" t="s">
        <v>28</v>
      </c>
      <c r="I7" s="30">
        <f>'FALL 8'!$C$56</f>
        <v>0.85020899999999999</v>
      </c>
      <c r="J7" s="26"/>
      <c r="K7" s="31"/>
      <c r="L7" s="39"/>
      <c r="M7" s="38"/>
    </row>
    <row r="8" spans="1:19" x14ac:dyDescent="0.3">
      <c r="A8" s="119">
        <v>4</v>
      </c>
      <c r="B8" s="124">
        <v>4</v>
      </c>
      <c r="C8" s="121">
        <v>4</v>
      </c>
      <c r="D8" s="125">
        <v>16</v>
      </c>
      <c r="E8" s="126">
        <v>16</v>
      </c>
      <c r="F8" s="124">
        <v>16</v>
      </c>
      <c r="G8" s="24">
        <v>9</v>
      </c>
      <c r="H8" s="24" t="s">
        <v>52</v>
      </c>
      <c r="I8" s="30">
        <f>'FALL 9'!$C$56</f>
        <v>1</v>
      </c>
      <c r="J8" s="26"/>
      <c r="K8" s="31"/>
      <c r="L8" s="39"/>
      <c r="M8" s="38"/>
    </row>
    <row r="9" spans="1:19" x14ac:dyDescent="0.3">
      <c r="A9" s="119">
        <v>2.5</v>
      </c>
      <c r="B9" s="120">
        <v>2.5</v>
      </c>
      <c r="C9" s="121">
        <v>2.5</v>
      </c>
      <c r="D9" s="122">
        <v>6.25</v>
      </c>
      <c r="E9" s="123">
        <v>6.25</v>
      </c>
      <c r="F9" s="120">
        <v>6.25</v>
      </c>
      <c r="G9" s="24">
        <v>10</v>
      </c>
      <c r="H9" s="24" t="s">
        <v>30</v>
      </c>
      <c r="I9" s="30">
        <f>'FALL 10'!$C$56</f>
        <v>0.96393099999999998</v>
      </c>
      <c r="J9" s="40"/>
      <c r="K9" s="39"/>
      <c r="L9" s="39"/>
      <c r="M9" s="38"/>
    </row>
    <row r="10" spans="1:19" x14ac:dyDescent="0.3">
      <c r="A10" s="127">
        <v>4.5</v>
      </c>
      <c r="B10" s="128">
        <v>4.5</v>
      </c>
      <c r="C10" s="113">
        <v>4.5</v>
      </c>
      <c r="D10" s="129">
        <v>20.25</v>
      </c>
      <c r="E10" s="130">
        <v>20.25</v>
      </c>
      <c r="F10" s="128">
        <v>20.25</v>
      </c>
      <c r="G10" s="24">
        <v>11</v>
      </c>
      <c r="H10" s="24" t="s">
        <v>31</v>
      </c>
      <c r="I10" s="30">
        <f>'FALL 11'!$C$56</f>
        <v>0.96371899999999999</v>
      </c>
      <c r="J10" s="40"/>
      <c r="K10" s="39"/>
      <c r="L10" s="39"/>
      <c r="M10" s="38"/>
    </row>
    <row r="11" spans="1:19" ht="15" thickBot="1" x14ac:dyDescent="0.35">
      <c r="A11" s="127">
        <v>10</v>
      </c>
      <c r="B11" s="128">
        <v>10</v>
      </c>
      <c r="C11" s="113">
        <v>10</v>
      </c>
      <c r="D11" s="129">
        <v>100</v>
      </c>
      <c r="E11" s="130">
        <v>100</v>
      </c>
      <c r="F11" s="128">
        <v>100</v>
      </c>
      <c r="G11" s="41">
        <v>12</v>
      </c>
      <c r="H11" s="41" t="s">
        <v>32</v>
      </c>
      <c r="I11" s="42">
        <f>'FALL 12'!$C$56</f>
        <v>1</v>
      </c>
      <c r="J11" s="43"/>
      <c r="K11" s="31"/>
      <c r="L11" s="39"/>
      <c r="M11" s="38"/>
    </row>
    <row r="12" spans="1:19" ht="15" thickTop="1" x14ac:dyDescent="0.3">
      <c r="A12" s="127">
        <v>12</v>
      </c>
      <c r="B12" s="128">
        <v>12</v>
      </c>
      <c r="C12" s="113">
        <v>12</v>
      </c>
      <c r="D12" s="129">
        <v>144</v>
      </c>
      <c r="E12" s="130">
        <v>144</v>
      </c>
      <c r="F12" s="128">
        <v>144</v>
      </c>
      <c r="G12" s="44" t="s">
        <v>62</v>
      </c>
      <c r="H12" s="45"/>
      <c r="I12" s="45"/>
      <c r="J12" s="46"/>
      <c r="K12" s="31"/>
      <c r="L12" s="39"/>
      <c r="M12" s="38"/>
    </row>
    <row r="13" spans="1:19" x14ac:dyDescent="0.3">
      <c r="A13" s="127">
        <v>15</v>
      </c>
      <c r="B13" s="128">
        <v>15</v>
      </c>
      <c r="C13" s="113">
        <v>15</v>
      </c>
      <c r="D13" s="129">
        <v>225</v>
      </c>
      <c r="E13" s="130">
        <v>225</v>
      </c>
      <c r="F13" s="128">
        <v>225</v>
      </c>
      <c r="G13" s="47" t="s">
        <v>76</v>
      </c>
      <c r="H13" s="45"/>
      <c r="I13" s="45"/>
      <c r="J13" s="48"/>
      <c r="K13" s="49"/>
      <c r="L13" s="27"/>
      <c r="M13" s="38"/>
    </row>
    <row r="14" spans="1:19" x14ac:dyDescent="0.3">
      <c r="A14" s="127">
        <v>1.5</v>
      </c>
      <c r="B14" s="128">
        <v>1.5</v>
      </c>
      <c r="C14" s="113">
        <v>1.5</v>
      </c>
      <c r="D14" s="129">
        <v>2.25</v>
      </c>
      <c r="E14" s="130">
        <v>2.25</v>
      </c>
      <c r="F14" s="128">
        <v>2.25</v>
      </c>
      <c r="G14" s="44" t="s">
        <v>73</v>
      </c>
      <c r="H14" s="45"/>
      <c r="I14" s="45"/>
      <c r="J14" s="46"/>
      <c r="K14" s="27"/>
      <c r="L14" s="27"/>
      <c r="M14" s="38"/>
    </row>
    <row r="15" spans="1:19" x14ac:dyDescent="0.3">
      <c r="A15" s="127">
        <v>14</v>
      </c>
      <c r="B15" s="128">
        <v>14</v>
      </c>
      <c r="C15" s="113">
        <v>14</v>
      </c>
      <c r="D15" s="129">
        <v>196</v>
      </c>
      <c r="E15" s="130">
        <v>196</v>
      </c>
      <c r="F15" s="128">
        <v>196</v>
      </c>
      <c r="G15" s="44" t="s">
        <v>74</v>
      </c>
      <c r="H15" s="45"/>
      <c r="I15" s="45"/>
      <c r="J15" s="48"/>
      <c r="K15" s="50"/>
      <c r="L15" s="27"/>
      <c r="M15" s="38"/>
    </row>
    <row r="16" spans="1:19" x14ac:dyDescent="0.3">
      <c r="A16" s="127">
        <f t="shared" ref="A16:A45" si="0">(EXP(1))</f>
        <v>2.7182818284590451</v>
      </c>
      <c r="B16" s="128">
        <v>1</v>
      </c>
      <c r="C16" s="113"/>
      <c r="D16" s="129"/>
      <c r="E16" s="130">
        <v>1</v>
      </c>
      <c r="F16" s="128">
        <f t="shared" ref="F16:F45" si="1">(EXP(1))</f>
        <v>2.7182818284590451</v>
      </c>
      <c r="G16" s="44" t="s">
        <v>75</v>
      </c>
      <c r="H16" s="45"/>
      <c r="I16" s="45"/>
      <c r="J16" s="46"/>
      <c r="K16" s="7"/>
      <c r="L16" s="27"/>
      <c r="M16" s="38"/>
    </row>
    <row r="17" spans="1:12" x14ac:dyDescent="0.3">
      <c r="A17" s="127">
        <f t="shared" si="0"/>
        <v>2.7182818284590451</v>
      </c>
      <c r="B17" s="128">
        <v>1</v>
      </c>
      <c r="C17" s="113"/>
      <c r="D17" s="129"/>
      <c r="E17" s="130">
        <v>1</v>
      </c>
      <c r="F17" s="128">
        <f t="shared" si="1"/>
        <v>2.7182818284590451</v>
      </c>
      <c r="G17" s="44" t="s">
        <v>98</v>
      </c>
      <c r="H17" s="45"/>
      <c r="I17" s="45"/>
      <c r="J17" s="48"/>
      <c r="K17" s="51"/>
      <c r="L17" s="27"/>
    </row>
    <row r="18" spans="1:12" x14ac:dyDescent="0.3">
      <c r="A18" s="127">
        <f t="shared" si="0"/>
        <v>2.7182818284590451</v>
      </c>
      <c r="B18" s="128">
        <v>1</v>
      </c>
      <c r="C18" s="113"/>
      <c r="D18" s="129"/>
      <c r="E18" s="130">
        <v>1</v>
      </c>
      <c r="F18" s="128">
        <f t="shared" si="1"/>
        <v>2.7182818284590451</v>
      </c>
      <c r="G18" s="44" t="s">
        <v>136</v>
      </c>
      <c r="H18" s="45"/>
      <c r="I18" s="45"/>
      <c r="J18" s="46"/>
      <c r="K18" s="7"/>
      <c r="L18" s="27"/>
    </row>
    <row r="19" spans="1:12" x14ac:dyDescent="0.3">
      <c r="A19" s="127">
        <f t="shared" si="0"/>
        <v>2.7182818284590451</v>
      </c>
      <c r="B19" s="128">
        <v>1</v>
      </c>
      <c r="C19" s="113"/>
      <c r="D19" s="129"/>
      <c r="E19" s="130">
        <v>1</v>
      </c>
      <c r="F19" s="128">
        <f t="shared" si="1"/>
        <v>2.7182818284590451</v>
      </c>
      <c r="G19" s="44" t="s">
        <v>137</v>
      </c>
      <c r="H19" s="45"/>
      <c r="I19" s="45"/>
      <c r="J19" s="52"/>
      <c r="K19" s="51"/>
      <c r="L19" s="27"/>
    </row>
    <row r="20" spans="1:12" x14ac:dyDescent="0.3">
      <c r="A20" s="127">
        <f t="shared" si="0"/>
        <v>2.7182818284590451</v>
      </c>
      <c r="B20" s="128">
        <v>1</v>
      </c>
      <c r="C20" s="113"/>
      <c r="D20" s="129"/>
      <c r="E20" s="130">
        <v>1</v>
      </c>
      <c r="F20" s="128">
        <f t="shared" si="1"/>
        <v>2.7182818284590451</v>
      </c>
      <c r="G20" s="44" t="s">
        <v>139</v>
      </c>
      <c r="H20" s="45"/>
      <c r="I20" s="45"/>
      <c r="J20" s="53"/>
      <c r="K20" s="7"/>
      <c r="L20" s="7"/>
    </row>
    <row r="21" spans="1:12" x14ac:dyDescent="0.3">
      <c r="A21" s="127">
        <f t="shared" si="0"/>
        <v>2.7182818284590451</v>
      </c>
      <c r="B21" s="128">
        <v>1</v>
      </c>
      <c r="C21" s="113"/>
      <c r="D21" s="129"/>
      <c r="E21" s="130">
        <v>1</v>
      </c>
      <c r="F21" s="128">
        <f t="shared" si="1"/>
        <v>2.7182818284590451</v>
      </c>
      <c r="G21" s="54" t="s">
        <v>138</v>
      </c>
      <c r="H21" s="55"/>
      <c r="I21" s="55"/>
      <c r="J21" s="56"/>
      <c r="K21" s="51"/>
      <c r="L21" s="37"/>
    </row>
    <row r="22" spans="1:12" x14ac:dyDescent="0.3">
      <c r="A22" s="127">
        <f t="shared" si="0"/>
        <v>2.7182818284590451</v>
      </c>
      <c r="B22" s="128">
        <v>1</v>
      </c>
      <c r="C22" s="113"/>
      <c r="D22" s="129"/>
      <c r="E22" s="130">
        <v>1</v>
      </c>
      <c r="F22" s="128">
        <f t="shared" si="1"/>
        <v>2.7182818284590451</v>
      </c>
      <c r="G22" s="57"/>
      <c r="H22" s="55"/>
      <c r="I22" s="55"/>
      <c r="J22" s="56"/>
      <c r="K22" s="7"/>
      <c r="L22" s="7"/>
    </row>
    <row r="23" spans="1:12" x14ac:dyDescent="0.3">
      <c r="A23" s="127">
        <f t="shared" si="0"/>
        <v>2.7182818284590451</v>
      </c>
      <c r="B23" s="128">
        <v>1</v>
      </c>
      <c r="C23" s="113"/>
      <c r="D23" s="129"/>
      <c r="E23" s="130">
        <v>1</v>
      </c>
      <c r="F23" s="128">
        <f t="shared" si="1"/>
        <v>2.7182818284590451</v>
      </c>
      <c r="G23" s="44" t="s">
        <v>79</v>
      </c>
      <c r="H23" s="45"/>
      <c r="I23" s="45"/>
      <c r="J23" s="56"/>
      <c r="K23" s="51"/>
      <c r="L23" s="37"/>
    </row>
    <row r="24" spans="1:12" x14ac:dyDescent="0.3">
      <c r="A24" s="127">
        <f t="shared" si="0"/>
        <v>2.7182818284590451</v>
      </c>
      <c r="B24" s="128">
        <v>1</v>
      </c>
      <c r="C24" s="113"/>
      <c r="D24" s="129"/>
      <c r="E24" s="130">
        <v>1</v>
      </c>
      <c r="F24" s="128">
        <f t="shared" si="1"/>
        <v>2.7182818284590451</v>
      </c>
      <c r="G24" s="44" t="s">
        <v>142</v>
      </c>
      <c r="H24" s="45"/>
      <c r="I24" s="45"/>
      <c r="J24" s="58"/>
      <c r="K24" s="27"/>
      <c r="L24" s="27"/>
    </row>
    <row r="25" spans="1:12" x14ac:dyDescent="0.3">
      <c r="A25" s="127">
        <f t="shared" si="0"/>
        <v>2.7182818284590451</v>
      </c>
      <c r="B25" s="128">
        <v>1</v>
      </c>
      <c r="C25" s="113"/>
      <c r="D25" s="129"/>
      <c r="E25" s="130">
        <v>1</v>
      </c>
      <c r="F25" s="128">
        <f t="shared" si="1"/>
        <v>2.7182818284590451</v>
      </c>
      <c r="G25" s="44" t="s">
        <v>80</v>
      </c>
      <c r="H25" s="45"/>
      <c r="I25" s="45"/>
      <c r="J25" s="58"/>
      <c r="K25" s="27"/>
      <c r="L25" s="27"/>
    </row>
    <row r="26" spans="1:12" x14ac:dyDescent="0.3">
      <c r="A26" s="131">
        <f t="shared" si="0"/>
        <v>2.7182818284590451</v>
      </c>
      <c r="B26" s="128">
        <v>1</v>
      </c>
      <c r="C26" s="113"/>
      <c r="D26" s="129"/>
      <c r="E26" s="130">
        <v>1</v>
      </c>
      <c r="F26" s="128">
        <f>(EXP(1))</f>
        <v>2.7182818284590451</v>
      </c>
      <c r="G26" s="59" t="s">
        <v>143</v>
      </c>
      <c r="H26" s="60"/>
      <c r="I26" s="60"/>
      <c r="J26" s="58"/>
      <c r="K26" s="27"/>
      <c r="L26" s="27"/>
    </row>
    <row r="27" spans="1:12" x14ac:dyDescent="0.3">
      <c r="A27" s="131">
        <f t="shared" si="0"/>
        <v>2.7182818284590451</v>
      </c>
      <c r="B27" s="128">
        <v>1</v>
      </c>
      <c r="C27" s="113"/>
      <c r="D27" s="129"/>
      <c r="E27" s="130">
        <v>1</v>
      </c>
      <c r="F27" s="128">
        <f t="shared" si="1"/>
        <v>2.7182818284590451</v>
      </c>
      <c r="G27" s="54" t="s">
        <v>51</v>
      </c>
      <c r="H27" s="61"/>
      <c r="I27" s="61"/>
      <c r="J27" s="58"/>
      <c r="K27" s="27"/>
      <c r="L27" s="27"/>
    </row>
    <row r="28" spans="1:12" x14ac:dyDescent="0.3">
      <c r="A28" s="131">
        <f t="shared" si="0"/>
        <v>2.7182818284590451</v>
      </c>
      <c r="B28" s="128">
        <v>1</v>
      </c>
      <c r="C28" s="113"/>
      <c r="D28" s="129"/>
      <c r="E28" s="130">
        <v>1</v>
      </c>
      <c r="F28" s="128">
        <f t="shared" si="1"/>
        <v>2.7182818284590451</v>
      </c>
      <c r="G28" s="57"/>
      <c r="J28" s="56"/>
      <c r="K28" s="27"/>
      <c r="L28" s="27"/>
    </row>
    <row r="29" spans="1:12" x14ac:dyDescent="0.3">
      <c r="A29" s="131">
        <f t="shared" si="0"/>
        <v>2.7182818284590451</v>
      </c>
      <c r="B29" s="128">
        <v>1</v>
      </c>
      <c r="C29" s="113"/>
      <c r="D29" s="129"/>
      <c r="E29" s="130">
        <v>1</v>
      </c>
      <c r="F29" s="128">
        <f t="shared" si="1"/>
        <v>2.7182818284590451</v>
      </c>
      <c r="G29" s="62" t="s">
        <v>95</v>
      </c>
      <c r="H29" s="63"/>
      <c r="I29" s="63"/>
      <c r="J29" s="64"/>
      <c r="K29" s="27"/>
      <c r="L29" s="27"/>
    </row>
    <row r="30" spans="1:12" x14ac:dyDescent="0.3">
      <c r="A30" s="131">
        <f t="shared" si="0"/>
        <v>2.7182818284590451</v>
      </c>
      <c r="B30" s="128">
        <v>1</v>
      </c>
      <c r="C30" s="113"/>
      <c r="D30" s="129"/>
      <c r="E30" s="130">
        <v>1</v>
      </c>
      <c r="F30" s="128">
        <f t="shared" si="1"/>
        <v>2.7182818284590451</v>
      </c>
      <c r="G30" s="62" t="s">
        <v>96</v>
      </c>
      <c r="H30" s="63"/>
      <c r="I30" s="63"/>
      <c r="J30" s="64"/>
      <c r="K30" s="27"/>
      <c r="L30" s="27"/>
    </row>
    <row r="31" spans="1:12" x14ac:dyDescent="0.3">
      <c r="A31" s="131">
        <f t="shared" si="0"/>
        <v>2.7182818284590451</v>
      </c>
      <c r="B31" s="128">
        <v>1</v>
      </c>
      <c r="C31" s="113"/>
      <c r="D31" s="129"/>
      <c r="E31" s="130">
        <v>1</v>
      </c>
      <c r="F31" s="128">
        <f t="shared" si="1"/>
        <v>2.7182818284590451</v>
      </c>
      <c r="G31" s="62" t="s">
        <v>100</v>
      </c>
      <c r="H31" s="63"/>
      <c r="I31" s="63"/>
      <c r="J31" s="64"/>
      <c r="K31" s="27"/>
      <c r="L31" s="27"/>
    </row>
    <row r="32" spans="1:12" x14ac:dyDescent="0.3">
      <c r="A32" s="131">
        <f t="shared" si="0"/>
        <v>2.7182818284590451</v>
      </c>
      <c r="B32" s="128">
        <v>1</v>
      </c>
      <c r="C32" s="113"/>
      <c r="D32" s="129"/>
      <c r="E32" s="130">
        <v>1</v>
      </c>
      <c r="F32" s="128">
        <f t="shared" si="1"/>
        <v>2.7182818284590451</v>
      </c>
      <c r="G32" s="62" t="s">
        <v>99</v>
      </c>
      <c r="H32" s="65"/>
      <c r="I32" s="65"/>
      <c r="J32" s="66"/>
      <c r="K32" s="27"/>
      <c r="L32" s="27"/>
    </row>
    <row r="33" spans="1:12" x14ac:dyDescent="0.3">
      <c r="A33" s="131">
        <f t="shared" si="0"/>
        <v>2.7182818284590451</v>
      </c>
      <c r="B33" s="128">
        <v>1</v>
      </c>
      <c r="C33" s="113"/>
      <c r="D33" s="129"/>
      <c r="E33" s="130">
        <v>1</v>
      </c>
      <c r="F33" s="128">
        <f t="shared" si="1"/>
        <v>2.7182818284590451</v>
      </c>
      <c r="G33" s="67" t="s">
        <v>101</v>
      </c>
      <c r="H33" s="68" t="s">
        <v>97</v>
      </c>
      <c r="I33" s="68"/>
      <c r="J33" s="69"/>
      <c r="K33" s="27"/>
      <c r="L33" s="27"/>
    </row>
    <row r="34" spans="1:12" x14ac:dyDescent="0.3">
      <c r="A34" s="131">
        <f t="shared" si="0"/>
        <v>2.7182818284590451</v>
      </c>
      <c r="B34" s="128">
        <v>1</v>
      </c>
      <c r="C34" s="113"/>
      <c r="D34" s="129"/>
      <c r="E34" s="130">
        <v>1</v>
      </c>
      <c r="F34" s="128">
        <f t="shared" si="1"/>
        <v>2.7182818284590451</v>
      </c>
      <c r="G34" s="17" t="s">
        <v>50</v>
      </c>
      <c r="H34" s="70"/>
      <c r="I34" s="71"/>
      <c r="J34" s="72"/>
      <c r="K34" s="27"/>
      <c r="L34" s="27"/>
    </row>
    <row r="35" spans="1:12" x14ac:dyDescent="0.3">
      <c r="A35" s="131">
        <f t="shared" si="0"/>
        <v>2.7182818284590451</v>
      </c>
      <c r="B35" s="128">
        <v>1</v>
      </c>
      <c r="C35" s="113"/>
      <c r="D35" s="129"/>
      <c r="E35" s="130">
        <v>1</v>
      </c>
      <c r="F35" s="128">
        <f t="shared" si="1"/>
        <v>2.7182818284590451</v>
      </c>
      <c r="G35" s="17" t="s">
        <v>92</v>
      </c>
      <c r="H35" s="70"/>
      <c r="I35" s="70"/>
      <c r="J35" s="72"/>
      <c r="K35" s="27"/>
      <c r="L35" s="27"/>
    </row>
    <row r="36" spans="1:12" x14ac:dyDescent="0.3">
      <c r="A36" s="131">
        <f t="shared" si="0"/>
        <v>2.7182818284590451</v>
      </c>
      <c r="B36" s="128">
        <v>1</v>
      </c>
      <c r="C36" s="113"/>
      <c r="D36" s="129"/>
      <c r="E36" s="130">
        <v>1</v>
      </c>
      <c r="F36" s="128">
        <f t="shared" si="1"/>
        <v>2.7182818284590451</v>
      </c>
      <c r="G36" s="17" t="s">
        <v>93</v>
      </c>
      <c r="H36" s="70"/>
      <c r="I36" s="70"/>
      <c r="J36" s="72"/>
      <c r="K36" s="27"/>
      <c r="L36" s="27"/>
    </row>
    <row r="37" spans="1:12" x14ac:dyDescent="0.3">
      <c r="A37" s="131">
        <f t="shared" si="0"/>
        <v>2.7182818284590451</v>
      </c>
      <c r="B37" s="128">
        <v>1</v>
      </c>
      <c r="C37" s="113"/>
      <c r="D37" s="129"/>
      <c r="E37" s="130">
        <v>1</v>
      </c>
      <c r="F37" s="128">
        <f t="shared" si="1"/>
        <v>2.7182818284590451</v>
      </c>
      <c r="G37" s="73" t="s">
        <v>144</v>
      </c>
      <c r="H37" s="74"/>
      <c r="I37" s="74"/>
      <c r="J37" s="75"/>
      <c r="K37" s="27"/>
      <c r="L37" s="76"/>
    </row>
    <row r="38" spans="1:12" x14ac:dyDescent="0.3">
      <c r="A38" s="131">
        <f t="shared" si="0"/>
        <v>2.7182818284590451</v>
      </c>
      <c r="B38" s="128">
        <v>1</v>
      </c>
      <c r="C38" s="113"/>
      <c r="D38" s="129"/>
      <c r="E38" s="130">
        <v>1</v>
      </c>
      <c r="F38" s="128">
        <f t="shared" si="1"/>
        <v>2.7182818284590451</v>
      </c>
      <c r="G38" s="73" t="s">
        <v>145</v>
      </c>
      <c r="H38" s="77"/>
      <c r="I38" s="77"/>
      <c r="J38" s="75"/>
      <c r="K38" s="27"/>
      <c r="L38" s="27"/>
    </row>
    <row r="39" spans="1:12" x14ac:dyDescent="0.3">
      <c r="A39" s="131">
        <f t="shared" si="0"/>
        <v>2.7182818284590451</v>
      </c>
      <c r="B39" s="128">
        <v>1</v>
      </c>
      <c r="C39" s="113"/>
      <c r="D39" s="129"/>
      <c r="E39" s="130">
        <v>1</v>
      </c>
      <c r="F39" s="128">
        <f t="shared" si="1"/>
        <v>2.7182818284590451</v>
      </c>
      <c r="G39" s="59" t="s">
        <v>81</v>
      </c>
      <c r="H39" s="60"/>
      <c r="I39" s="60"/>
      <c r="J39" s="58"/>
      <c r="K39" s="27"/>
      <c r="L39" s="27"/>
    </row>
    <row r="40" spans="1:12" x14ac:dyDescent="0.3">
      <c r="A40" s="131">
        <f t="shared" si="0"/>
        <v>2.7182818284590451</v>
      </c>
      <c r="B40" s="128">
        <v>1</v>
      </c>
      <c r="C40" s="113"/>
      <c r="D40" s="129"/>
      <c r="E40" s="130">
        <v>1</v>
      </c>
      <c r="F40" s="128">
        <f>(EXP(1))</f>
        <v>2.7182818284590451</v>
      </c>
      <c r="G40" s="47" t="s">
        <v>83</v>
      </c>
      <c r="H40" s="78"/>
      <c r="I40" s="79"/>
      <c r="J40" s="58"/>
      <c r="K40" s="27"/>
      <c r="L40" s="27"/>
    </row>
    <row r="41" spans="1:12" x14ac:dyDescent="0.3">
      <c r="A41" s="131">
        <f t="shared" si="0"/>
        <v>2.7182818284590451</v>
      </c>
      <c r="B41" s="128">
        <v>1</v>
      </c>
      <c r="C41" s="113"/>
      <c r="D41" s="129"/>
      <c r="E41" s="130">
        <v>1</v>
      </c>
      <c r="F41" s="128">
        <f t="shared" si="1"/>
        <v>2.7182818284590451</v>
      </c>
      <c r="G41" s="47" t="s">
        <v>94</v>
      </c>
      <c r="H41" s="80"/>
      <c r="I41" s="81"/>
      <c r="J41" s="58"/>
      <c r="K41" s="27"/>
      <c r="L41" s="27"/>
    </row>
    <row r="42" spans="1:12" x14ac:dyDescent="0.3">
      <c r="A42" s="131">
        <f t="shared" si="0"/>
        <v>2.7182818284590451</v>
      </c>
      <c r="B42" s="128">
        <v>1</v>
      </c>
      <c r="C42" s="113"/>
      <c r="D42" s="129"/>
      <c r="E42" s="130">
        <v>1</v>
      </c>
      <c r="F42" s="128">
        <f t="shared" si="1"/>
        <v>2.7182818284590451</v>
      </c>
      <c r="G42" s="82"/>
      <c r="H42" s="83" t="s">
        <v>120</v>
      </c>
      <c r="I42" s="84" t="s">
        <v>121</v>
      </c>
      <c r="J42" s="85" t="s">
        <v>122</v>
      </c>
      <c r="K42" s="27"/>
      <c r="L42" s="27"/>
    </row>
    <row r="43" spans="1:12" x14ac:dyDescent="0.3">
      <c r="A43" s="131">
        <f t="shared" si="0"/>
        <v>2.7182818284590451</v>
      </c>
      <c r="B43" s="128">
        <v>1</v>
      </c>
      <c r="C43" s="113"/>
      <c r="D43" s="129"/>
      <c r="E43" s="130">
        <v>1</v>
      </c>
      <c r="F43" s="128">
        <f t="shared" si="1"/>
        <v>2.7182818284590451</v>
      </c>
      <c r="G43" s="82" t="s">
        <v>82</v>
      </c>
      <c r="H43" s="83" t="s">
        <v>77</v>
      </c>
      <c r="I43" s="86" t="s">
        <v>77</v>
      </c>
      <c r="J43" s="87" t="s">
        <v>123</v>
      </c>
      <c r="K43" s="27"/>
      <c r="L43" s="27"/>
    </row>
    <row r="44" spans="1:12" x14ac:dyDescent="0.3">
      <c r="A44" s="131">
        <f t="shared" si="0"/>
        <v>2.7182818284590451</v>
      </c>
      <c r="B44" s="128">
        <v>1</v>
      </c>
      <c r="C44" s="113"/>
      <c r="D44" s="129"/>
      <c r="E44" s="130">
        <v>1</v>
      </c>
      <c r="F44" s="128">
        <f t="shared" si="1"/>
        <v>2.7182818284590451</v>
      </c>
      <c r="G44" s="88" t="s">
        <v>91</v>
      </c>
      <c r="H44" s="89" t="s">
        <v>77</v>
      </c>
      <c r="I44" s="89" t="s">
        <v>77</v>
      </c>
      <c r="J44" s="90" t="s">
        <v>124</v>
      </c>
      <c r="K44" s="27"/>
      <c r="L44" s="27"/>
    </row>
    <row r="45" spans="1:12" ht="15" thickBot="1" x14ac:dyDescent="0.35">
      <c r="A45" s="131">
        <f t="shared" si="0"/>
        <v>2.7182818284590451</v>
      </c>
      <c r="B45" s="128">
        <v>1</v>
      </c>
      <c r="C45" s="133"/>
      <c r="D45" s="134"/>
      <c r="E45" s="130">
        <v>1</v>
      </c>
      <c r="F45" s="128">
        <f t="shared" si="1"/>
        <v>2.7182818284590451</v>
      </c>
      <c r="G45" s="91" t="s">
        <v>125</v>
      </c>
      <c r="H45" s="92" t="s">
        <v>78</v>
      </c>
      <c r="I45" s="93" t="s">
        <v>78</v>
      </c>
      <c r="J45" s="87" t="s">
        <v>127</v>
      </c>
      <c r="K45" s="27"/>
      <c r="L45" s="27"/>
    </row>
    <row r="46" spans="1:12" ht="15.6" thickTop="1" thickBot="1" x14ac:dyDescent="0.35">
      <c r="A46" s="94"/>
      <c r="B46" s="95">
        <v>4</v>
      </c>
      <c r="C46" s="96" t="s">
        <v>34</v>
      </c>
      <c r="D46" s="97">
        <f>ROWS(D6:D45)-COUNTBLANK(D6:D45)</f>
        <v>10</v>
      </c>
      <c r="E46" s="98"/>
      <c r="F46" s="99"/>
      <c r="G46" s="100" t="s">
        <v>126</v>
      </c>
      <c r="H46" s="101" t="s">
        <v>78</v>
      </c>
      <c r="I46" s="102" t="s">
        <v>78</v>
      </c>
      <c r="J46" s="103" t="s">
        <v>128</v>
      </c>
    </row>
    <row r="47" spans="1:12" ht="15" thickTop="1" x14ac:dyDescent="0.3">
      <c r="A47" s="104"/>
      <c r="B47" s="105"/>
      <c r="C47" s="106"/>
      <c r="D47" s="107"/>
      <c r="E47" s="37"/>
      <c r="F47" s="108"/>
      <c r="G47" s="76"/>
      <c r="H47" s="37"/>
      <c r="I47" s="37"/>
    </row>
    <row r="48" spans="1:12" x14ac:dyDescent="0.3">
      <c r="A48" s="109"/>
      <c r="B48" s="109"/>
      <c r="C48" s="109"/>
      <c r="D48" s="109"/>
      <c r="E48" s="109"/>
      <c r="F48" s="110"/>
      <c r="G48" s="110"/>
      <c r="H48" s="109"/>
      <c r="I48" s="109"/>
    </row>
    <row r="49" spans="1:9" x14ac:dyDescent="0.3">
      <c r="A49" s="111"/>
      <c r="B49" s="109"/>
      <c r="C49" s="112"/>
      <c r="D49" s="109"/>
      <c r="E49" s="110"/>
      <c r="F49" s="109"/>
      <c r="G49" s="109"/>
      <c r="H49" s="89"/>
      <c r="I49" s="109"/>
    </row>
    <row r="50" spans="1:9" x14ac:dyDescent="0.3">
      <c r="A50" s="109"/>
      <c r="B50" s="109"/>
      <c r="C50" s="109"/>
      <c r="D50" s="109"/>
      <c r="E50" s="109"/>
      <c r="F50" s="109"/>
      <c r="G50" s="109"/>
      <c r="H50" s="109"/>
      <c r="I50" s="109"/>
    </row>
    <row r="51" spans="1:9" x14ac:dyDescent="0.3">
      <c r="A51" s="111"/>
      <c r="B51" s="109"/>
      <c r="C51" s="112"/>
      <c r="D51" s="109"/>
      <c r="E51" s="110"/>
      <c r="F51" s="109"/>
      <c r="G51" s="109"/>
      <c r="H51" s="89"/>
      <c r="I51" s="109"/>
    </row>
  </sheetData>
  <sheetProtection algorithmName="SHA-512" hashValue="1wJPvTfb+P/eiCLlgMGg+7bxXsQ1PbQ1RwVBgggcPGb3nfhzi/rrzMINVKnYDeJzLf7L12q+KdgwhDaSmOGBhw==" saltValue="14ox3D3MLgmViiCO60JJGQ==" spinCount="100000" sheet="1" objects="1" scenarios="1"/>
  <sortState ref="G4:I11">
    <sortCondition ref="G4:G11"/>
  </sortState>
  <mergeCells count="3">
    <mergeCell ref="A4:B4"/>
    <mergeCell ref="A5:B5"/>
    <mergeCell ref="C4:D4"/>
  </mergeCells>
  <dataValidations count="3">
    <dataValidation showInputMessage="1" showErrorMessage="1" sqref="C6:D45 A6:B9 E6:F9" xr:uid="{00000000-0002-0000-0000-000000000000}"/>
    <dataValidation operator="greaterThanOrEqual" allowBlank="1" showInputMessage="1" showErrorMessage="1" sqref="D46" xr:uid="{00000000-0002-0000-0000-000001000000}"/>
    <dataValidation type="decimal" allowBlank="1" showInputMessage="1" showErrorMessage="1" sqref="I3 I4 I5 I6 I7 I8 I9 I10 I11" xr:uid="{00000000-0002-0000-0000-000002000000}">
      <formula1>0.001</formula1>
      <formula2>0.002</formula2>
    </dataValidation>
  </dataValidations>
  <hyperlinks>
    <hyperlink ref="H33" r:id="rId1" xr:uid="{6CFDC6BE-BC9C-41A4-8E74-A5FA1FC30ABA}"/>
  </hyperlinks>
  <pageMargins left="0.7" right="0.7" top="0.78740157499999996" bottom="0.78740157499999996" header="0.3" footer="0.3"/>
  <pageSetup paperSize="9" orientation="portrait" horizontalDpi="4294967293" verticalDpi="4294967293" r:id="rId2"/>
  <ignoredErrors>
    <ignoredError sqref="A16:A45 F16:F45" unlocked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L65"/>
  <sheetViews>
    <sheetView topLeftCell="A16" zoomScaleNormal="100" workbookViewId="0">
      <selection activeCell="H56" sqref="H56"/>
    </sheetView>
  </sheetViews>
  <sheetFormatPr baseColWidth="10" defaultRowHeight="14.4" x14ac:dyDescent="0.3"/>
  <cols>
    <col min="1" max="1" width="18.44140625" style="140" customWidth="1"/>
    <col min="2" max="2" width="15.33203125" style="140" customWidth="1"/>
    <col min="3" max="4" width="11.6640625" style="140" bestFit="1" customWidth="1"/>
    <col min="5" max="5" width="12" style="140" bestFit="1" customWidth="1"/>
    <col min="6" max="6" width="15.21875" style="140" customWidth="1"/>
    <col min="7" max="7" width="12" style="140" bestFit="1" customWidth="1"/>
    <col min="8" max="8" width="12.109375" style="140" bestFit="1" customWidth="1"/>
    <col min="9" max="9" width="18.88671875" style="140" customWidth="1"/>
    <col min="10" max="10" width="19.33203125" style="140" customWidth="1"/>
    <col min="11" max="11" width="34.21875" style="140" customWidth="1"/>
    <col min="12" max="12" width="32.6640625" style="140" customWidth="1"/>
    <col min="13" max="13" width="16.21875" style="140" customWidth="1"/>
    <col min="14" max="16384" width="11.5546875" style="140"/>
  </cols>
  <sheetData>
    <row r="1" spans="1:38" ht="18" x14ac:dyDescent="0.35">
      <c r="A1" s="135" t="s">
        <v>61</v>
      </c>
      <c r="B1" s="136"/>
      <c r="C1" s="136"/>
      <c r="D1" s="136"/>
      <c r="E1" s="136"/>
      <c r="F1" s="136"/>
      <c r="G1" s="136"/>
      <c r="H1" s="136"/>
      <c r="I1" s="137"/>
      <c r="J1" s="143"/>
      <c r="K1" s="143"/>
      <c r="L1" s="138"/>
      <c r="M1" s="138"/>
      <c r="N1" s="138"/>
      <c r="O1" s="138"/>
      <c r="P1" s="139"/>
      <c r="Q1" s="139"/>
      <c r="R1" s="139"/>
      <c r="S1" s="139"/>
      <c r="T1" s="139"/>
      <c r="U1" s="139"/>
      <c r="V1" s="139"/>
      <c r="W1" s="139"/>
      <c r="X1" s="139"/>
      <c r="Y1" s="139"/>
      <c r="Z1" s="139"/>
      <c r="AA1" s="139"/>
      <c r="AB1" s="139"/>
      <c r="AC1" s="139"/>
      <c r="AD1" s="139"/>
      <c r="AE1" s="139"/>
      <c r="AF1" s="139"/>
      <c r="AG1" s="139"/>
      <c r="AH1" s="139"/>
      <c r="AI1" s="139"/>
      <c r="AJ1" s="139"/>
      <c r="AK1" s="139"/>
      <c r="AL1" s="139"/>
    </row>
    <row r="2" spans="1:38" x14ac:dyDescent="0.3">
      <c r="A2" s="141"/>
      <c r="B2" s="141"/>
      <c r="C2" s="261"/>
      <c r="D2" s="261"/>
      <c r="E2" s="261"/>
      <c r="F2" s="261"/>
      <c r="G2" s="261"/>
      <c r="H2" s="141"/>
      <c r="I2" s="137"/>
      <c r="J2" s="143"/>
      <c r="K2" s="143"/>
      <c r="L2" s="138"/>
      <c r="M2" s="138"/>
      <c r="N2" s="138"/>
      <c r="O2" s="138"/>
      <c r="P2" s="139"/>
      <c r="Q2" s="139"/>
      <c r="R2" s="139"/>
      <c r="S2" s="139"/>
      <c r="T2" s="139"/>
      <c r="U2" s="139"/>
      <c r="V2" s="139"/>
      <c r="W2" s="139"/>
      <c r="X2" s="139"/>
      <c r="Y2" s="139"/>
      <c r="Z2" s="139"/>
      <c r="AA2" s="139"/>
      <c r="AB2" s="139"/>
      <c r="AC2" s="139"/>
      <c r="AD2" s="139"/>
      <c r="AE2" s="139"/>
      <c r="AF2" s="139"/>
      <c r="AG2" s="139"/>
      <c r="AH2" s="139"/>
      <c r="AI2" s="139"/>
      <c r="AJ2" s="139"/>
      <c r="AK2" s="139"/>
      <c r="AL2" s="139"/>
    </row>
    <row r="3" spans="1:38" x14ac:dyDescent="0.3">
      <c r="A3" s="141"/>
      <c r="B3" s="141"/>
      <c r="C3" s="141" t="s">
        <v>0</v>
      </c>
      <c r="D3" s="142" t="s">
        <v>1</v>
      </c>
      <c r="E3" s="141" t="s">
        <v>2</v>
      </c>
      <c r="F3" s="141" t="s">
        <v>21</v>
      </c>
      <c r="G3" s="141" t="s">
        <v>3</v>
      </c>
      <c r="H3" s="141" t="s">
        <v>4</v>
      </c>
      <c r="I3" s="141" t="s">
        <v>140</v>
      </c>
      <c r="J3" s="143"/>
      <c r="K3" s="143"/>
      <c r="L3" s="138"/>
      <c r="M3" s="138"/>
      <c r="N3" s="138"/>
      <c r="O3" s="138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  <c r="AA3" s="139"/>
      <c r="AB3" s="139"/>
      <c r="AC3" s="139"/>
      <c r="AD3" s="139"/>
      <c r="AE3" s="139"/>
      <c r="AF3" s="139"/>
      <c r="AG3" s="139"/>
      <c r="AH3" s="139"/>
      <c r="AI3" s="139"/>
      <c r="AJ3" s="139"/>
      <c r="AK3" s="139"/>
      <c r="AL3" s="139"/>
    </row>
    <row r="4" spans="1:38" x14ac:dyDescent="0.3">
      <c r="A4" s="269" t="s">
        <v>141</v>
      </c>
      <c r="B4" s="269"/>
      <c r="C4" s="141">
        <f>EINGABEN!$D$46</f>
        <v>10</v>
      </c>
      <c r="D4" s="141">
        <f>IF(MIN(A6:A45)&lt;1,0,ROUND(SUM(D6:D45),3))</f>
        <v>4.867</v>
      </c>
      <c r="E4" s="141">
        <f>ROUND(SUM(E6:E45),3)</f>
        <v>11.797000000000001</v>
      </c>
      <c r="F4" s="143" t="s">
        <v>22</v>
      </c>
      <c r="G4" s="141">
        <f>IF(MIN(A6:A45)&lt;1,0,ROUND(SUM(G6:G45),3))</f>
        <v>8.8979999999999997</v>
      </c>
      <c r="H4" s="141">
        <f>IF(MIN(A6:A45)&lt;1,0,ROUND(SUM(H6:H45),3))</f>
        <v>5.5309999999999997</v>
      </c>
      <c r="I4" s="141">
        <f>IF(MIN(A6:A45)&lt;1,0,ROUND(SUM(I6:I45),3))</f>
        <v>17.065999999999999</v>
      </c>
      <c r="J4" s="143"/>
      <c r="K4" s="143"/>
      <c r="L4" s="138"/>
      <c r="M4" s="138"/>
      <c r="N4" s="138"/>
      <c r="O4" s="138"/>
      <c r="P4" s="139"/>
      <c r="Q4" s="139"/>
      <c r="R4" s="139"/>
      <c r="S4" s="139"/>
      <c r="T4" s="139"/>
      <c r="U4" s="139"/>
      <c r="V4" s="139"/>
      <c r="W4" s="139"/>
      <c r="X4" s="139"/>
      <c r="Y4" s="139"/>
      <c r="Z4" s="139"/>
      <c r="AA4" s="139"/>
      <c r="AB4" s="139"/>
      <c r="AC4" s="139"/>
      <c r="AD4" s="139"/>
      <c r="AE4" s="139"/>
      <c r="AF4" s="139"/>
      <c r="AG4" s="139"/>
      <c r="AH4" s="139"/>
      <c r="AI4" s="139"/>
      <c r="AJ4" s="139"/>
      <c r="AK4" s="139"/>
      <c r="AL4" s="139"/>
    </row>
    <row r="5" spans="1:38" x14ac:dyDescent="0.3">
      <c r="A5" s="141" t="s">
        <v>8</v>
      </c>
      <c r="B5" s="141" t="s">
        <v>9</v>
      </c>
      <c r="C5" s="141" t="s">
        <v>38</v>
      </c>
      <c r="D5" s="141" t="s">
        <v>5</v>
      </c>
      <c r="E5" s="141" t="s">
        <v>6</v>
      </c>
      <c r="F5" s="141" t="s">
        <v>23</v>
      </c>
      <c r="G5" s="141" t="s">
        <v>10</v>
      </c>
      <c r="H5" s="141" t="s">
        <v>7</v>
      </c>
      <c r="I5" s="142" t="s">
        <v>18</v>
      </c>
      <c r="J5" s="143" t="s">
        <v>114</v>
      </c>
      <c r="K5" s="143" t="s">
        <v>112</v>
      </c>
      <c r="L5" s="138" t="s">
        <v>113</v>
      </c>
      <c r="M5" s="138" t="s">
        <v>115</v>
      </c>
      <c r="N5" s="138"/>
      <c r="O5" s="138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  <c r="AA5" s="139"/>
      <c r="AB5" s="139"/>
      <c r="AC5" s="139"/>
      <c r="AD5" s="139"/>
      <c r="AE5" s="139"/>
      <c r="AF5" s="139"/>
      <c r="AG5" s="139"/>
      <c r="AH5" s="139"/>
      <c r="AI5" s="139"/>
      <c r="AJ5" s="139"/>
      <c r="AK5" s="139"/>
      <c r="AL5" s="139"/>
    </row>
    <row r="6" spans="1:38" x14ac:dyDescent="0.3">
      <c r="A6" s="141">
        <f>EINGABEN!A6</f>
        <v>8</v>
      </c>
      <c r="B6" s="141">
        <f>EINGABEN!F6</f>
        <v>64</v>
      </c>
      <c r="C6" s="141"/>
      <c r="D6" s="141">
        <f>(LN(((LN(A6+0.001)))))</f>
        <v>0.73215947481666477</v>
      </c>
      <c r="E6" s="141">
        <f>(LN((LN(B6+0.001))))</f>
        <v>1.4252503056283174</v>
      </c>
      <c r="F6" s="143">
        <f>(LN(((LN((2.7182813^(C52*(LN((A6+0.001))^C54))))))))</f>
        <v>1.4247065774114946</v>
      </c>
      <c r="G6" s="141">
        <f t="shared" ref="G6:G45" si="0">(D6*E6)</f>
        <v>1.0435105152511199</v>
      </c>
      <c r="H6" s="141">
        <f t="shared" ref="H6:I45" si="1">(D6)^2</f>
        <v>0.53605749656381441</v>
      </c>
      <c r="I6" s="141">
        <f t="shared" si="1"/>
        <v>2.0313384336936124</v>
      </c>
      <c r="J6" s="143">
        <f>IF(EINGABEN!C6="","",EINGABEN!C6)</f>
        <v>8</v>
      </c>
      <c r="K6" s="143">
        <f>IF(J6="","",B6)</f>
        <v>64</v>
      </c>
      <c r="L6" s="138">
        <f>IF(J6="","",(EXP($C$52*LN(J6)^$C$54)))</f>
        <v>63.840606066984648</v>
      </c>
      <c r="M6" s="138">
        <f>IF(K6="","",(K6-L6)^2)</f>
        <v>2.5406425882102446E-2</v>
      </c>
      <c r="N6" s="138"/>
      <c r="O6" s="138"/>
      <c r="P6" s="139"/>
      <c r="Q6" s="139"/>
      <c r="R6" s="139"/>
      <c r="S6" s="139"/>
      <c r="T6" s="139"/>
      <c r="U6" s="139"/>
      <c r="V6" s="139"/>
      <c r="W6" s="139"/>
      <c r="X6" s="139"/>
      <c r="Y6" s="139"/>
      <c r="Z6" s="139"/>
      <c r="AA6" s="139"/>
      <c r="AB6" s="139"/>
      <c r="AC6" s="139"/>
      <c r="AD6" s="139"/>
      <c r="AE6" s="139"/>
      <c r="AF6" s="139"/>
      <c r="AG6" s="139"/>
      <c r="AH6" s="139"/>
      <c r="AI6" s="139"/>
      <c r="AJ6" s="139"/>
      <c r="AK6" s="139"/>
      <c r="AL6" s="139"/>
    </row>
    <row r="7" spans="1:38" x14ac:dyDescent="0.3">
      <c r="A7" s="141">
        <f>EINGABEN!A7</f>
        <v>7</v>
      </c>
      <c r="B7" s="141">
        <f>EINGABEN!F7</f>
        <v>49</v>
      </c>
      <c r="C7" s="141"/>
      <c r="D7" s="141">
        <f t="shared" ref="D7:D45" si="2">(LN(((LN(A7+0.001)))))</f>
        <v>0.66580321668953057</v>
      </c>
      <c r="E7" s="141">
        <f t="shared" ref="E7:E45" si="3">(LN((LN(B7+0.001))))</f>
        <v>1.3588822349316014</v>
      </c>
      <c r="F7" s="143">
        <f>(LN(((LN((2.7182813^(C52*(LN((A7+0.001))^C54))))))))</f>
        <v>1.3584726802243468</v>
      </c>
      <c r="G7" s="141">
        <f t="shared" si="0"/>
        <v>0.90474816311971862</v>
      </c>
      <c r="H7" s="141">
        <f t="shared" si="1"/>
        <v>0.44329392335412598</v>
      </c>
      <c r="I7" s="141">
        <f t="shared" si="1"/>
        <v>1.846560928412704</v>
      </c>
      <c r="J7" s="143">
        <f>IF(EINGABEN!C7="","",EINGABEN!C7)</f>
        <v>7</v>
      </c>
      <c r="K7" s="255">
        <f t="shared" ref="K7:K45" si="4">IF(J7="","",B7)</f>
        <v>49</v>
      </c>
      <c r="L7" s="138">
        <f t="shared" ref="L7:L45" si="5">IF(J7="","",(EXP($C$52*LN(J7)^$C$54)))</f>
        <v>48.909068838269462</v>
      </c>
      <c r="M7" s="138">
        <f t="shared" ref="M7:M45" si="6">IF(K7="","",(K7-L7)^2)</f>
        <v>8.2684761736652075E-3</v>
      </c>
      <c r="N7" s="138"/>
      <c r="O7" s="138"/>
      <c r="P7" s="139"/>
      <c r="Q7" s="139"/>
      <c r="R7" s="139"/>
      <c r="S7" s="139"/>
      <c r="T7" s="139"/>
      <c r="U7" s="139"/>
      <c r="V7" s="139"/>
      <c r="W7" s="139"/>
      <c r="X7" s="139"/>
      <c r="Y7" s="139"/>
      <c r="Z7" s="139"/>
      <c r="AA7" s="139"/>
      <c r="AB7" s="139"/>
      <c r="AC7" s="139"/>
      <c r="AD7" s="139"/>
      <c r="AE7" s="139"/>
      <c r="AF7" s="139"/>
      <c r="AG7" s="139"/>
      <c r="AH7" s="139"/>
      <c r="AI7" s="139"/>
      <c r="AJ7" s="139"/>
      <c r="AK7" s="139"/>
      <c r="AL7" s="139"/>
    </row>
    <row r="8" spans="1:38" x14ac:dyDescent="0.3">
      <c r="A8" s="141">
        <f>EINGABEN!A8</f>
        <v>4</v>
      </c>
      <c r="B8" s="218">
        <f>EINGABEN!F8</f>
        <v>16</v>
      </c>
      <c r="C8" s="141"/>
      <c r="D8" s="141">
        <f t="shared" si="2"/>
        <v>0.32681455806536153</v>
      </c>
      <c r="E8" s="141">
        <f t="shared" si="3"/>
        <v>1.0198039816897748</v>
      </c>
      <c r="F8" s="143">
        <f>(LN(((LN((2.7182813^(C52*(LN((A8+0.001))^C54))))))))</f>
        <v>1.0201091166866807</v>
      </c>
      <c r="G8" s="141">
        <f t="shared" si="0"/>
        <v>0.3332867875892398</v>
      </c>
      <c r="H8" s="141">
        <f t="shared" si="1"/>
        <v>0.10680775536345756</v>
      </c>
      <c r="I8" s="141">
        <f t="shared" si="1"/>
        <v>1.0400001610703187</v>
      </c>
      <c r="J8" s="143">
        <f>IF(EINGABEN!C8="","",EINGABEN!C8)</f>
        <v>4</v>
      </c>
      <c r="K8" s="255">
        <f t="shared" si="4"/>
        <v>16</v>
      </c>
      <c r="L8" s="138">
        <f t="shared" si="5"/>
        <v>16.006563104062383</v>
      </c>
      <c r="M8" s="138">
        <f t="shared" si="6"/>
        <v>4.3074334933674451E-5</v>
      </c>
      <c r="N8" s="138"/>
      <c r="O8" s="138"/>
      <c r="P8" s="139"/>
      <c r="Q8" s="139"/>
      <c r="R8" s="139"/>
      <c r="S8" s="139"/>
      <c r="T8" s="139"/>
      <c r="U8" s="139"/>
      <c r="V8" s="139"/>
      <c r="W8" s="139"/>
      <c r="X8" s="139"/>
      <c r="Y8" s="139"/>
      <c r="Z8" s="139"/>
      <c r="AA8" s="139"/>
      <c r="AB8" s="139"/>
      <c r="AC8" s="139"/>
      <c r="AD8" s="139"/>
      <c r="AE8" s="139"/>
      <c r="AF8" s="139"/>
      <c r="AG8" s="139"/>
      <c r="AH8" s="139"/>
      <c r="AI8" s="139"/>
      <c r="AJ8" s="139"/>
      <c r="AK8" s="139"/>
      <c r="AL8" s="139"/>
    </row>
    <row r="9" spans="1:38" x14ac:dyDescent="0.3">
      <c r="A9" s="141">
        <f>EINGABEN!A9</f>
        <v>2.5</v>
      </c>
      <c r="B9" s="141">
        <f>EINGABEN!F9</f>
        <v>6.25</v>
      </c>
      <c r="C9" s="141"/>
      <c r="D9" s="141">
        <f t="shared" si="2"/>
        <v>-8.6985211627783721E-2</v>
      </c>
      <c r="E9" s="141">
        <f t="shared" si="3"/>
        <v>0.60581290650812902</v>
      </c>
      <c r="F9" s="143">
        <f>(LN(((LN((2.7182813^(C52*(LN((A9+0.001))^C54))))))))</f>
        <v>0.60707239376884947</v>
      </c>
      <c r="G9" s="141">
        <f t="shared" si="0"/>
        <v>-5.2696763879452359E-2</v>
      </c>
      <c r="H9" s="141">
        <f t="shared" si="1"/>
        <v>7.56642704193032E-3</v>
      </c>
      <c r="I9" s="141">
        <f t="shared" si="1"/>
        <v>0.36700927769182706</v>
      </c>
      <c r="J9" s="143">
        <f>IF(EINGABEN!C9="","",EINGABEN!C9)</f>
        <v>2.5</v>
      </c>
      <c r="K9" s="255">
        <f t="shared" si="4"/>
        <v>6.25</v>
      </c>
      <c r="L9" s="138">
        <f t="shared" si="5"/>
        <v>6.260452605336031</v>
      </c>
      <c r="M9" s="138">
        <f t="shared" si="6"/>
        <v>1.0925695831082341E-4</v>
      </c>
      <c r="N9" s="138"/>
      <c r="O9" s="138"/>
      <c r="P9" s="139"/>
      <c r="Q9" s="139"/>
      <c r="R9" s="139"/>
      <c r="S9" s="139"/>
      <c r="T9" s="139"/>
      <c r="U9" s="139"/>
      <c r="V9" s="139"/>
      <c r="W9" s="139"/>
      <c r="X9" s="139"/>
      <c r="Y9" s="139"/>
      <c r="Z9" s="139"/>
      <c r="AA9" s="139"/>
      <c r="AB9" s="139"/>
      <c r="AC9" s="139"/>
      <c r="AD9" s="139"/>
      <c r="AE9" s="139"/>
      <c r="AF9" s="139"/>
      <c r="AG9" s="139"/>
      <c r="AH9" s="139"/>
      <c r="AI9" s="139"/>
      <c r="AJ9" s="139"/>
      <c r="AK9" s="139"/>
      <c r="AL9" s="139"/>
    </row>
    <row r="10" spans="1:38" x14ac:dyDescent="0.3">
      <c r="A10" s="141">
        <f>EINGABEN!A10</f>
        <v>4.5</v>
      </c>
      <c r="B10" s="262">
        <f>EINGABEN!F10</f>
        <v>20.25</v>
      </c>
      <c r="C10" s="141"/>
      <c r="D10" s="141">
        <f t="shared" si="2"/>
        <v>0.4083274040352361</v>
      </c>
      <c r="E10" s="141">
        <f t="shared" si="3"/>
        <v>1.1013432811275519</v>
      </c>
      <c r="F10" s="143">
        <f>(LN(((LN((2.7182813^(C52*(LN((A10+0.001))^C54))))))))</f>
        <v>1.1014716529685868</v>
      </c>
      <c r="G10" s="141">
        <f t="shared" si="0"/>
        <v>0.4497086429344625</v>
      </c>
      <c r="H10" s="141">
        <f t="shared" si="1"/>
        <v>0.16673126888615494</v>
      </c>
      <c r="I10" s="141">
        <f t="shared" si="1"/>
        <v>1.2129570228848017</v>
      </c>
      <c r="J10" s="143">
        <f>IF(EINGABEN!C10="","",EINGABEN!C10)</f>
        <v>4.5</v>
      </c>
      <c r="K10" s="255">
        <f t="shared" si="4"/>
        <v>20.25</v>
      </c>
      <c r="L10" s="138">
        <f t="shared" si="5"/>
        <v>20.249849855709801</v>
      </c>
      <c r="M10" s="138">
        <f t="shared" si="6"/>
        <v>2.2543307879359927E-8</v>
      </c>
      <c r="N10" s="138"/>
      <c r="O10" s="138"/>
      <c r="P10" s="139"/>
      <c r="Q10" s="139"/>
      <c r="R10" s="139"/>
      <c r="S10" s="139"/>
      <c r="T10" s="139"/>
      <c r="U10" s="139"/>
      <c r="V10" s="139"/>
      <c r="W10" s="139"/>
      <c r="X10" s="139"/>
      <c r="Y10" s="139"/>
      <c r="Z10" s="139"/>
      <c r="AA10" s="139"/>
      <c r="AB10" s="139"/>
      <c r="AC10" s="139"/>
      <c r="AD10" s="139"/>
      <c r="AE10" s="139"/>
      <c r="AF10" s="139"/>
      <c r="AG10" s="139"/>
      <c r="AH10" s="139"/>
      <c r="AI10" s="139"/>
      <c r="AJ10" s="139"/>
      <c r="AK10" s="139"/>
      <c r="AL10" s="139"/>
    </row>
    <row r="11" spans="1:38" x14ac:dyDescent="0.3">
      <c r="A11" s="141">
        <f>EINGABEN!A11</f>
        <v>10</v>
      </c>
      <c r="B11" s="262">
        <f>EINGABEN!F11</f>
        <v>100</v>
      </c>
      <c r="C11" s="141"/>
      <c r="D11" s="141">
        <f t="shared" si="2"/>
        <v>0.83407587158188146</v>
      </c>
      <c r="E11" s="141">
        <f t="shared" si="3"/>
        <v>1.5271817972670956</v>
      </c>
      <c r="F11" s="143">
        <f>(LN(((LN((2.7182813^(C52*(LN((A11+0.001))^C54))))))))</f>
        <v>1.5264350403410762</v>
      </c>
      <c r="G11" s="141">
        <f t="shared" si="0"/>
        <v>1.273785488619537</v>
      </c>
      <c r="H11" s="141">
        <f t="shared" si="1"/>
        <v>0.69568255955507519</v>
      </c>
      <c r="I11" s="141">
        <f t="shared" si="1"/>
        <v>2.332284241903956</v>
      </c>
      <c r="J11" s="143">
        <f>IF(EINGABEN!C11="","",EINGABEN!C11)</f>
        <v>10</v>
      </c>
      <c r="K11" s="255">
        <f t="shared" si="4"/>
        <v>100</v>
      </c>
      <c r="L11" s="138">
        <f t="shared" si="5"/>
        <v>99.638033091193634</v>
      </c>
      <c r="M11" s="138">
        <f t="shared" si="6"/>
        <v>0.13102004307083603</v>
      </c>
      <c r="N11" s="138"/>
      <c r="O11" s="138"/>
      <c r="P11" s="139"/>
      <c r="Q11" s="139"/>
      <c r="R11" s="139"/>
      <c r="S11" s="139"/>
      <c r="T11" s="139"/>
      <c r="U11" s="139"/>
      <c r="V11" s="139"/>
      <c r="W11" s="139"/>
      <c r="X11" s="139"/>
      <c r="Y11" s="139"/>
      <c r="Z11" s="139"/>
      <c r="AA11" s="139"/>
      <c r="AB11" s="139"/>
      <c r="AC11" s="139"/>
      <c r="AD11" s="139"/>
      <c r="AE11" s="139"/>
      <c r="AF11" s="139"/>
      <c r="AG11" s="139"/>
      <c r="AH11" s="139"/>
      <c r="AI11" s="139"/>
      <c r="AJ11" s="139"/>
      <c r="AK11" s="139"/>
      <c r="AL11" s="139"/>
    </row>
    <row r="12" spans="1:38" x14ac:dyDescent="0.3">
      <c r="A12" s="141">
        <f>EINGABEN!A12</f>
        <v>12</v>
      </c>
      <c r="B12" s="262">
        <f>EINGABEN!F12</f>
        <v>144</v>
      </c>
      <c r="C12" s="141"/>
      <c r="D12" s="141">
        <f t="shared" si="2"/>
        <v>0.91026862720617829</v>
      </c>
      <c r="E12" s="141">
        <f t="shared" si="3"/>
        <v>1.6033836712444585</v>
      </c>
      <c r="F12" s="143">
        <f>(LN(((LN((2.7182813^(C52*(LN((A12+0.001))^C54))))))))</f>
        <v>1.6024872965240018</v>
      </c>
      <c r="G12" s="141">
        <f t="shared" si="0"/>
        <v>1.4595098533084956</v>
      </c>
      <c r="H12" s="141">
        <f t="shared" si="1"/>
        <v>0.82858897367582041</v>
      </c>
      <c r="I12" s="141">
        <f t="shared" si="1"/>
        <v>2.5708391972133575</v>
      </c>
      <c r="J12" s="143">
        <f>IF(EINGABEN!C12="","",EINGABEN!C12)</f>
        <v>12</v>
      </c>
      <c r="K12" s="255">
        <f t="shared" si="4"/>
        <v>144</v>
      </c>
      <c r="L12" s="138">
        <f t="shared" si="5"/>
        <v>143.3375281888205</v>
      </c>
      <c r="M12" s="138">
        <f t="shared" si="6"/>
        <v>0.43886890060744776</v>
      </c>
      <c r="N12" s="138"/>
      <c r="O12" s="138"/>
      <c r="P12" s="139"/>
      <c r="Q12" s="139"/>
      <c r="R12" s="139"/>
      <c r="S12" s="139"/>
      <c r="T12" s="139"/>
      <c r="U12" s="139"/>
      <c r="V12" s="139"/>
      <c r="W12" s="139"/>
      <c r="X12" s="139"/>
      <c r="Y12" s="139"/>
      <c r="Z12" s="139"/>
      <c r="AA12" s="139"/>
      <c r="AB12" s="139"/>
      <c r="AC12" s="139"/>
      <c r="AD12" s="139"/>
      <c r="AE12" s="139"/>
      <c r="AF12" s="139"/>
      <c r="AG12" s="139"/>
      <c r="AH12" s="139"/>
      <c r="AI12" s="139"/>
      <c r="AJ12" s="139"/>
      <c r="AK12" s="139"/>
      <c r="AL12" s="139"/>
    </row>
    <row r="13" spans="1:38" x14ac:dyDescent="0.3">
      <c r="A13" s="141">
        <f>EINGABEN!A13</f>
        <v>15</v>
      </c>
      <c r="B13" s="262">
        <f>EINGABEN!F13</f>
        <v>225</v>
      </c>
      <c r="C13" s="141"/>
      <c r="D13" s="141">
        <f t="shared" si="2"/>
        <v>0.99625350978604055</v>
      </c>
      <c r="E13" s="141">
        <f t="shared" si="3"/>
        <v>1.6893768941077867</v>
      </c>
      <c r="F13" s="143">
        <f>(LN(((LN((2.7182813^(C52*(LN((A13+0.001))^C54))))))))</f>
        <v>1.6883136229803868</v>
      </c>
      <c r="G13" s="141">
        <f t="shared" si="0"/>
        <v>1.6830476601063227</v>
      </c>
      <c r="H13" s="141">
        <f t="shared" si="1"/>
        <v>0.99252105576100436</v>
      </c>
      <c r="I13" s="141">
        <f t="shared" si="1"/>
        <v>2.853994290345272</v>
      </c>
      <c r="J13" s="143">
        <f>IF(EINGABEN!C13="","",EINGABEN!C13)</f>
        <v>15</v>
      </c>
      <c r="K13" s="255">
        <f t="shared" si="4"/>
        <v>225</v>
      </c>
      <c r="L13" s="138">
        <f t="shared" si="5"/>
        <v>223.68017302392286</v>
      </c>
      <c r="M13" s="138">
        <f t="shared" si="6"/>
        <v>1.7419432467809226</v>
      </c>
      <c r="N13" s="138"/>
      <c r="O13" s="138"/>
      <c r="P13" s="139"/>
      <c r="Q13" s="139"/>
      <c r="R13" s="139"/>
      <c r="S13" s="139"/>
      <c r="T13" s="139"/>
      <c r="U13" s="139"/>
      <c r="V13" s="139"/>
      <c r="W13" s="139"/>
      <c r="X13" s="139"/>
      <c r="Y13" s="139"/>
      <c r="Z13" s="139"/>
      <c r="AA13" s="139"/>
      <c r="AB13" s="139"/>
      <c r="AC13" s="139"/>
      <c r="AD13" s="139"/>
      <c r="AE13" s="139"/>
      <c r="AF13" s="139"/>
      <c r="AG13" s="139"/>
      <c r="AH13" s="139"/>
      <c r="AI13" s="139"/>
      <c r="AJ13" s="139"/>
      <c r="AK13" s="139"/>
      <c r="AL13" s="139"/>
    </row>
    <row r="14" spans="1:38" ht="10.199999999999999" customHeight="1" x14ac:dyDescent="0.3">
      <c r="A14" s="141">
        <f>EINGABEN!A14</f>
        <v>1.5</v>
      </c>
      <c r="B14" s="262">
        <f>EINGABEN!F14</f>
        <v>2.25</v>
      </c>
      <c r="C14" s="141"/>
      <c r="D14" s="141">
        <f t="shared" si="2"/>
        <v>-0.90107815055528995</v>
      </c>
      <c r="E14" s="141">
        <f t="shared" si="3"/>
        <v>-0.20902547954595704</v>
      </c>
      <c r="F14" s="143">
        <f>(LN(((LN((2.7182813^(C52*(LN((A14+0.001))^C54))))))))</f>
        <v>-0.20551935777927441</v>
      </c>
      <c r="G14" s="141">
        <f t="shared" si="0"/>
        <v>0.18834829252820356</v>
      </c>
      <c r="H14" s="141">
        <f t="shared" si="1"/>
        <v>0.81194183340814174</v>
      </c>
      <c r="I14" s="141">
        <f t="shared" si="1"/>
        <v>4.3691651099417306E-2</v>
      </c>
      <c r="J14" s="143">
        <f>IF(EINGABEN!C14="","",EINGABEN!C14)</f>
        <v>1.5</v>
      </c>
      <c r="K14" s="233">
        <f t="shared" si="4"/>
        <v>2.25</v>
      </c>
      <c r="L14" s="138">
        <f t="shared" si="5"/>
        <v>2.2544157427489298</v>
      </c>
      <c r="M14" s="138">
        <f t="shared" si="6"/>
        <v>1.9498784024725681E-5</v>
      </c>
      <c r="N14" s="138"/>
      <c r="O14" s="138"/>
      <c r="P14" s="139"/>
      <c r="Q14" s="139"/>
      <c r="R14" s="139"/>
      <c r="S14" s="139"/>
      <c r="T14" s="139"/>
      <c r="U14" s="139"/>
      <c r="V14" s="139"/>
      <c r="W14" s="139"/>
      <c r="X14" s="139"/>
      <c r="Y14" s="139"/>
      <c r="Z14" s="139"/>
      <c r="AA14" s="139"/>
      <c r="AB14" s="139"/>
      <c r="AC14" s="139"/>
      <c r="AD14" s="139"/>
      <c r="AE14" s="139"/>
      <c r="AF14" s="139"/>
      <c r="AG14" s="139"/>
      <c r="AH14" s="139"/>
      <c r="AI14" s="139"/>
      <c r="AJ14" s="139"/>
      <c r="AK14" s="139"/>
      <c r="AL14" s="139"/>
    </row>
    <row r="15" spans="1:38" ht="15" thickBot="1" x14ac:dyDescent="0.35">
      <c r="A15" s="145">
        <f>EINGABEN!A15</f>
        <v>14</v>
      </c>
      <c r="B15" s="189">
        <f>EINGABEN!F15</f>
        <v>196</v>
      </c>
      <c r="C15" s="145"/>
      <c r="D15" s="145">
        <f t="shared" si="2"/>
        <v>0.97044884588606961</v>
      </c>
      <c r="E15" s="145">
        <f t="shared" si="3"/>
        <v>1.6635699284751466</v>
      </c>
      <c r="F15" s="146">
        <f>(LN(((LN((2.7182813^(C52*(LN((A15+0.001))^C54))))))))</f>
        <v>1.6625565428806475</v>
      </c>
      <c r="G15" s="141">
        <f t="shared" si="0"/>
        <v>1.6144095171394774</v>
      </c>
      <c r="H15" s="141">
        <f t="shared" si="1"/>
        <v>0.94177096248160452</v>
      </c>
      <c r="I15" s="141">
        <f t="shared" si="1"/>
        <v>2.7674649069268042</v>
      </c>
      <c r="J15" s="143">
        <f>IF(EINGABEN!C15="","",EINGABEN!C15)</f>
        <v>14</v>
      </c>
      <c r="K15" s="255">
        <f t="shared" si="4"/>
        <v>196</v>
      </c>
      <c r="L15" s="138">
        <f t="shared" si="5"/>
        <v>194.92839471924941</v>
      </c>
      <c r="M15" s="138">
        <f t="shared" si="6"/>
        <v>1.1483378777325486</v>
      </c>
      <c r="N15" s="138"/>
      <c r="O15" s="138"/>
      <c r="P15" s="139"/>
      <c r="Q15" s="139"/>
      <c r="R15" s="139"/>
      <c r="S15" s="139"/>
      <c r="T15" s="139"/>
      <c r="U15" s="139"/>
      <c r="V15" s="139"/>
      <c r="W15" s="139"/>
      <c r="X15" s="139"/>
      <c r="Y15" s="139"/>
      <c r="Z15" s="139"/>
      <c r="AA15" s="139"/>
      <c r="AB15" s="139"/>
      <c r="AC15" s="139"/>
      <c r="AD15" s="139"/>
      <c r="AE15" s="139"/>
      <c r="AF15" s="139"/>
      <c r="AG15" s="139"/>
      <c r="AH15" s="139"/>
      <c r="AI15" s="139"/>
      <c r="AJ15" s="139"/>
      <c r="AK15" s="139"/>
      <c r="AL15" s="139"/>
    </row>
    <row r="16" spans="1:38" ht="15" thickTop="1" x14ac:dyDescent="0.3">
      <c r="A16" s="147">
        <f>EINGABEN!A16</f>
        <v>2.7182818284590451</v>
      </c>
      <c r="B16" s="191">
        <f>EINGABEN!F16</f>
        <v>2.7182818284590451</v>
      </c>
      <c r="C16" s="148"/>
      <c r="D16" s="148">
        <f t="shared" si="2"/>
        <v>3.677441639463942E-4</v>
      </c>
      <c r="E16" s="148">
        <f t="shared" si="3"/>
        <v>3.677441639463942E-4</v>
      </c>
      <c r="F16" s="149">
        <f>(LN(((LN((2.7182813^(C52*(LN((A16+0.001))^C54))))))))</f>
        <v>0.69426427071009966</v>
      </c>
      <c r="G16" s="141">
        <f t="shared" si="0"/>
        <v>1.3523577011663246E-7</v>
      </c>
      <c r="H16" s="141">
        <f t="shared" si="1"/>
        <v>1.3523577011663246E-7</v>
      </c>
      <c r="I16" s="141">
        <f t="shared" si="1"/>
        <v>1.3523577011663246E-7</v>
      </c>
      <c r="J16" s="143" t="str">
        <f>IF(EINGABEN!C16="","",EINGABEN!C16)</f>
        <v/>
      </c>
      <c r="K16" s="255" t="str">
        <f t="shared" si="4"/>
        <v/>
      </c>
      <c r="L16" s="138" t="str">
        <f t="shared" si="5"/>
        <v/>
      </c>
      <c r="M16" s="138" t="str">
        <f t="shared" si="6"/>
        <v/>
      </c>
      <c r="N16" s="138"/>
      <c r="O16" s="138"/>
      <c r="P16" s="139"/>
      <c r="Q16" s="139"/>
      <c r="R16" s="139"/>
    </row>
    <row r="17" spans="1:18" x14ac:dyDescent="0.3">
      <c r="A17" s="150">
        <f>EINGABEN!A17</f>
        <v>2.7182818284590451</v>
      </c>
      <c r="B17" s="170">
        <f>EINGABEN!F17</f>
        <v>2.7182818284590451</v>
      </c>
      <c r="C17" s="106"/>
      <c r="D17" s="106">
        <f t="shared" si="2"/>
        <v>3.677441639463942E-4</v>
      </c>
      <c r="E17" s="106">
        <f t="shared" si="3"/>
        <v>3.677441639463942E-4</v>
      </c>
      <c r="F17" s="151">
        <f>(LN(((LN((2.7182813^(C52*(LN((A17+0.001))^C54))))))))</f>
        <v>0.69426427071009966</v>
      </c>
      <c r="G17" s="141">
        <f t="shared" si="0"/>
        <v>1.3523577011663246E-7</v>
      </c>
      <c r="H17" s="141">
        <f t="shared" si="1"/>
        <v>1.3523577011663246E-7</v>
      </c>
      <c r="I17" s="141">
        <f t="shared" si="1"/>
        <v>1.3523577011663246E-7</v>
      </c>
      <c r="J17" s="143" t="str">
        <f>IF(EINGABEN!C17="","",EINGABEN!C17)</f>
        <v/>
      </c>
      <c r="K17" s="255" t="str">
        <f t="shared" si="4"/>
        <v/>
      </c>
      <c r="L17" s="138" t="str">
        <f t="shared" si="5"/>
        <v/>
      </c>
      <c r="M17" s="138" t="str">
        <f t="shared" si="6"/>
        <v/>
      </c>
      <c r="N17" s="138"/>
      <c r="O17" s="138"/>
      <c r="P17" s="139"/>
      <c r="Q17" s="139"/>
      <c r="R17" s="139"/>
    </row>
    <row r="18" spans="1:18" x14ac:dyDescent="0.3">
      <c r="A18" s="150">
        <f>EINGABEN!A18</f>
        <v>2.7182818284590451</v>
      </c>
      <c r="B18" s="170">
        <f>EINGABEN!F18</f>
        <v>2.7182818284590451</v>
      </c>
      <c r="C18" s="106"/>
      <c r="D18" s="106">
        <f t="shared" si="2"/>
        <v>3.677441639463942E-4</v>
      </c>
      <c r="E18" s="106">
        <f t="shared" si="3"/>
        <v>3.677441639463942E-4</v>
      </c>
      <c r="F18" s="151">
        <f>(LN(((LN((2.7182813^(C52*(LN((A18+0.001))^C54))))))))</f>
        <v>0.69426427071009966</v>
      </c>
      <c r="G18" s="141">
        <f t="shared" si="0"/>
        <v>1.3523577011663246E-7</v>
      </c>
      <c r="H18" s="141">
        <f t="shared" si="1"/>
        <v>1.3523577011663246E-7</v>
      </c>
      <c r="I18" s="141">
        <f t="shared" si="1"/>
        <v>1.3523577011663246E-7</v>
      </c>
      <c r="J18" s="143" t="str">
        <f>IF(EINGABEN!C18="","",EINGABEN!C18)</f>
        <v/>
      </c>
      <c r="K18" s="255" t="str">
        <f t="shared" si="4"/>
        <v/>
      </c>
      <c r="L18" s="138" t="str">
        <f t="shared" si="5"/>
        <v/>
      </c>
      <c r="M18" s="138" t="str">
        <f t="shared" si="6"/>
        <v/>
      </c>
      <c r="N18" s="138"/>
      <c r="O18" s="138"/>
      <c r="P18" s="139"/>
      <c r="Q18" s="139"/>
      <c r="R18" s="139"/>
    </row>
    <row r="19" spans="1:18" x14ac:dyDescent="0.3">
      <c r="A19" s="150">
        <f>EINGABEN!A19</f>
        <v>2.7182818284590451</v>
      </c>
      <c r="B19" s="170">
        <f>EINGABEN!F19</f>
        <v>2.7182818284590451</v>
      </c>
      <c r="C19" s="106"/>
      <c r="D19" s="106">
        <f t="shared" si="2"/>
        <v>3.677441639463942E-4</v>
      </c>
      <c r="E19" s="106">
        <f t="shared" si="3"/>
        <v>3.677441639463942E-4</v>
      </c>
      <c r="F19" s="151">
        <f>(LN(((LN((2.7182813^(C52*(LN((A19+0.001))^C54))))))))</f>
        <v>0.69426427071009966</v>
      </c>
      <c r="G19" s="141">
        <f t="shared" si="0"/>
        <v>1.3523577011663246E-7</v>
      </c>
      <c r="H19" s="141">
        <f t="shared" si="1"/>
        <v>1.3523577011663246E-7</v>
      </c>
      <c r="I19" s="141">
        <f t="shared" si="1"/>
        <v>1.3523577011663246E-7</v>
      </c>
      <c r="J19" s="143" t="str">
        <f>IF(EINGABEN!C19="","",EINGABEN!C19)</f>
        <v/>
      </c>
      <c r="K19" s="255" t="str">
        <f t="shared" si="4"/>
        <v/>
      </c>
      <c r="L19" s="138" t="str">
        <f t="shared" si="5"/>
        <v/>
      </c>
      <c r="M19" s="138" t="str">
        <f t="shared" si="6"/>
        <v/>
      </c>
      <c r="N19" s="138"/>
      <c r="O19" s="138"/>
      <c r="P19" s="139"/>
      <c r="Q19" s="139"/>
      <c r="R19" s="139"/>
    </row>
    <row r="20" spans="1:18" x14ac:dyDescent="0.3">
      <c r="A20" s="150">
        <f>EINGABEN!A20</f>
        <v>2.7182818284590451</v>
      </c>
      <c r="B20" s="170">
        <f>EINGABEN!F20</f>
        <v>2.7182818284590451</v>
      </c>
      <c r="C20" s="106"/>
      <c r="D20" s="106">
        <f t="shared" si="2"/>
        <v>3.677441639463942E-4</v>
      </c>
      <c r="E20" s="106">
        <f t="shared" si="3"/>
        <v>3.677441639463942E-4</v>
      </c>
      <c r="F20" s="151">
        <f>(LN(((LN((2.7182813^(C52*(LN((A20+0.001))^C54))))))))</f>
        <v>0.69426427071009966</v>
      </c>
      <c r="G20" s="141">
        <f t="shared" si="0"/>
        <v>1.3523577011663246E-7</v>
      </c>
      <c r="H20" s="141">
        <f t="shared" si="1"/>
        <v>1.3523577011663246E-7</v>
      </c>
      <c r="I20" s="141">
        <f t="shared" si="1"/>
        <v>1.3523577011663246E-7</v>
      </c>
      <c r="J20" s="143" t="str">
        <f>IF(EINGABEN!C20="","",EINGABEN!C20)</f>
        <v/>
      </c>
      <c r="K20" s="255" t="str">
        <f t="shared" si="4"/>
        <v/>
      </c>
      <c r="L20" s="138" t="str">
        <f t="shared" si="5"/>
        <v/>
      </c>
      <c r="M20" s="138" t="str">
        <f t="shared" si="6"/>
        <v/>
      </c>
      <c r="N20" s="138"/>
      <c r="O20" s="138"/>
      <c r="P20" s="139"/>
      <c r="Q20" s="139"/>
      <c r="R20" s="139"/>
    </row>
    <row r="21" spans="1:18" x14ac:dyDescent="0.3">
      <c r="A21" s="150">
        <f>EINGABEN!A21</f>
        <v>2.7182818284590451</v>
      </c>
      <c r="B21" s="170">
        <f>EINGABEN!F21</f>
        <v>2.7182818284590451</v>
      </c>
      <c r="C21" s="106"/>
      <c r="D21" s="106">
        <f t="shared" si="2"/>
        <v>3.677441639463942E-4</v>
      </c>
      <c r="E21" s="106">
        <f t="shared" si="3"/>
        <v>3.677441639463942E-4</v>
      </c>
      <c r="F21" s="151">
        <f>(LN(((LN((2.7182813^(C52*(LN((A21+0.001))^C54))))))))</f>
        <v>0.69426427071009966</v>
      </c>
      <c r="G21" s="141">
        <f t="shared" si="0"/>
        <v>1.3523577011663246E-7</v>
      </c>
      <c r="H21" s="141">
        <f t="shared" si="1"/>
        <v>1.3523577011663246E-7</v>
      </c>
      <c r="I21" s="141">
        <f t="shared" si="1"/>
        <v>1.3523577011663246E-7</v>
      </c>
      <c r="J21" s="143" t="str">
        <f>IF(EINGABEN!C21="","",EINGABEN!C21)</f>
        <v/>
      </c>
      <c r="K21" s="255" t="str">
        <f t="shared" si="4"/>
        <v/>
      </c>
      <c r="L21" s="138" t="str">
        <f t="shared" si="5"/>
        <v/>
      </c>
      <c r="M21" s="138" t="str">
        <f t="shared" si="6"/>
        <v/>
      </c>
      <c r="N21" s="138"/>
      <c r="O21" s="138"/>
      <c r="P21" s="139"/>
      <c r="Q21" s="139"/>
      <c r="R21" s="139"/>
    </row>
    <row r="22" spans="1:18" x14ac:dyDescent="0.3">
      <c r="A22" s="150">
        <f>EINGABEN!A22</f>
        <v>2.7182818284590451</v>
      </c>
      <c r="B22" s="170">
        <f>EINGABEN!F22</f>
        <v>2.7182818284590451</v>
      </c>
      <c r="C22" s="106"/>
      <c r="D22" s="106">
        <f t="shared" si="2"/>
        <v>3.677441639463942E-4</v>
      </c>
      <c r="E22" s="106">
        <f t="shared" si="3"/>
        <v>3.677441639463942E-4</v>
      </c>
      <c r="F22" s="151">
        <f>(LN(((LN((2.7182813^(C52*(LN((A22+0.001))^C54))))))))</f>
        <v>0.69426427071009966</v>
      </c>
      <c r="G22" s="141">
        <f t="shared" si="0"/>
        <v>1.3523577011663246E-7</v>
      </c>
      <c r="H22" s="141">
        <f t="shared" si="1"/>
        <v>1.3523577011663246E-7</v>
      </c>
      <c r="I22" s="141">
        <f t="shared" si="1"/>
        <v>1.3523577011663246E-7</v>
      </c>
      <c r="J22" s="143" t="str">
        <f>IF(EINGABEN!C22="","",EINGABEN!C22)</f>
        <v/>
      </c>
      <c r="K22" s="255" t="str">
        <f t="shared" si="4"/>
        <v/>
      </c>
      <c r="L22" s="138" t="str">
        <f t="shared" si="5"/>
        <v/>
      </c>
      <c r="M22" s="138" t="str">
        <f t="shared" si="6"/>
        <v/>
      </c>
      <c r="N22" s="138"/>
      <c r="O22" s="138"/>
      <c r="P22" s="139"/>
      <c r="Q22" s="139"/>
      <c r="R22" s="139"/>
    </row>
    <row r="23" spans="1:18" x14ac:dyDescent="0.3">
      <c r="A23" s="150">
        <f>EINGABEN!A23</f>
        <v>2.7182818284590451</v>
      </c>
      <c r="B23" s="170">
        <f>EINGABEN!F23</f>
        <v>2.7182818284590451</v>
      </c>
      <c r="C23" s="106"/>
      <c r="D23" s="106">
        <f t="shared" si="2"/>
        <v>3.677441639463942E-4</v>
      </c>
      <c r="E23" s="106">
        <f t="shared" si="3"/>
        <v>3.677441639463942E-4</v>
      </c>
      <c r="F23" s="151">
        <f>(LN(((LN((2.7182813^(C52*(LN((A23+0.001))^C54))))))))</f>
        <v>0.69426427071009966</v>
      </c>
      <c r="G23" s="141">
        <f t="shared" si="0"/>
        <v>1.3523577011663246E-7</v>
      </c>
      <c r="H23" s="141">
        <f t="shared" si="1"/>
        <v>1.3523577011663246E-7</v>
      </c>
      <c r="I23" s="141">
        <f t="shared" si="1"/>
        <v>1.3523577011663246E-7</v>
      </c>
      <c r="J23" s="143" t="str">
        <f>IF(EINGABEN!C23="","",EINGABEN!C23)</f>
        <v/>
      </c>
      <c r="K23" s="255" t="str">
        <f t="shared" si="4"/>
        <v/>
      </c>
      <c r="L23" s="138" t="str">
        <f t="shared" si="5"/>
        <v/>
      </c>
      <c r="M23" s="138" t="str">
        <f t="shared" si="6"/>
        <v/>
      </c>
      <c r="N23" s="138"/>
      <c r="O23" s="138"/>
      <c r="P23" s="139"/>
      <c r="Q23" s="139"/>
      <c r="R23" s="139"/>
    </row>
    <row r="24" spans="1:18" x14ac:dyDescent="0.3">
      <c r="A24" s="150">
        <f>EINGABEN!A24</f>
        <v>2.7182818284590451</v>
      </c>
      <c r="B24" s="170">
        <f>EINGABEN!F24</f>
        <v>2.7182818284590451</v>
      </c>
      <c r="C24" s="106"/>
      <c r="D24" s="106">
        <f t="shared" si="2"/>
        <v>3.677441639463942E-4</v>
      </c>
      <c r="E24" s="106">
        <f t="shared" si="3"/>
        <v>3.677441639463942E-4</v>
      </c>
      <c r="F24" s="151">
        <f>(LN(((LN((2.7182813^(C52*(LN((A24+0.001))^C54))))))))</f>
        <v>0.69426427071009966</v>
      </c>
      <c r="G24" s="141">
        <f t="shared" si="0"/>
        <v>1.3523577011663246E-7</v>
      </c>
      <c r="H24" s="141">
        <f t="shared" si="1"/>
        <v>1.3523577011663246E-7</v>
      </c>
      <c r="I24" s="141">
        <f t="shared" si="1"/>
        <v>1.3523577011663246E-7</v>
      </c>
      <c r="J24" s="143" t="str">
        <f>IF(EINGABEN!C24="","",EINGABEN!C24)</f>
        <v/>
      </c>
      <c r="K24" s="255" t="str">
        <f t="shared" si="4"/>
        <v/>
      </c>
      <c r="L24" s="138" t="str">
        <f t="shared" si="5"/>
        <v/>
      </c>
      <c r="M24" s="138" t="str">
        <f t="shared" si="6"/>
        <v/>
      </c>
      <c r="N24" s="138"/>
      <c r="O24" s="138"/>
      <c r="P24" s="139"/>
      <c r="Q24" s="139"/>
      <c r="R24" s="139"/>
    </row>
    <row r="25" spans="1:18" x14ac:dyDescent="0.3">
      <c r="A25" s="150">
        <f>EINGABEN!A25</f>
        <v>2.7182818284590451</v>
      </c>
      <c r="B25" s="170">
        <f>EINGABEN!F25</f>
        <v>2.7182818284590451</v>
      </c>
      <c r="C25" s="106"/>
      <c r="D25" s="106">
        <f t="shared" si="2"/>
        <v>3.677441639463942E-4</v>
      </c>
      <c r="E25" s="106">
        <f t="shared" si="3"/>
        <v>3.677441639463942E-4</v>
      </c>
      <c r="F25" s="151">
        <f>(LN(((LN((2.7182813^(C52*(LN((A25+0.001))^C54))))))))</f>
        <v>0.69426427071009966</v>
      </c>
      <c r="G25" s="141">
        <f t="shared" si="0"/>
        <v>1.3523577011663246E-7</v>
      </c>
      <c r="H25" s="141">
        <f t="shared" si="1"/>
        <v>1.3523577011663246E-7</v>
      </c>
      <c r="I25" s="141">
        <f t="shared" si="1"/>
        <v>1.3523577011663246E-7</v>
      </c>
      <c r="J25" s="143" t="str">
        <f>IF(EINGABEN!C25="","",EINGABEN!C25)</f>
        <v/>
      </c>
      <c r="K25" s="255" t="str">
        <f t="shared" si="4"/>
        <v/>
      </c>
      <c r="L25" s="138" t="str">
        <f t="shared" si="5"/>
        <v/>
      </c>
      <c r="M25" s="138" t="str">
        <f t="shared" si="6"/>
        <v/>
      </c>
      <c r="N25" s="138"/>
      <c r="O25" s="138"/>
      <c r="P25" s="139"/>
      <c r="Q25" s="139"/>
      <c r="R25" s="139"/>
    </row>
    <row r="26" spans="1:18" x14ac:dyDescent="0.3">
      <c r="A26" s="150">
        <f>EINGABEN!A26</f>
        <v>2.7182818284590451</v>
      </c>
      <c r="B26" s="170">
        <f>EINGABEN!F26</f>
        <v>2.7182818284590451</v>
      </c>
      <c r="C26" s="106"/>
      <c r="D26" s="106">
        <f t="shared" si="2"/>
        <v>3.677441639463942E-4</v>
      </c>
      <c r="E26" s="106">
        <f t="shared" si="3"/>
        <v>3.677441639463942E-4</v>
      </c>
      <c r="F26" s="151">
        <f>(LN(((LN((2.7182813^(C52*(LN((A26+0.001))^C54))))))))</f>
        <v>0.69426427071009966</v>
      </c>
      <c r="G26" s="141">
        <f t="shared" si="0"/>
        <v>1.3523577011663246E-7</v>
      </c>
      <c r="H26" s="141">
        <f t="shared" si="1"/>
        <v>1.3523577011663246E-7</v>
      </c>
      <c r="I26" s="141">
        <f t="shared" si="1"/>
        <v>1.3523577011663246E-7</v>
      </c>
      <c r="J26" s="143" t="str">
        <f>IF(EINGABEN!C26="","",EINGABEN!C26)</f>
        <v/>
      </c>
      <c r="K26" s="255" t="str">
        <f t="shared" si="4"/>
        <v/>
      </c>
      <c r="L26" s="138" t="str">
        <f t="shared" si="5"/>
        <v/>
      </c>
      <c r="M26" s="138" t="str">
        <f t="shared" si="6"/>
        <v/>
      </c>
      <c r="N26" s="138"/>
      <c r="O26" s="138"/>
      <c r="P26" s="139"/>
      <c r="Q26" s="139"/>
      <c r="R26" s="139"/>
    </row>
    <row r="27" spans="1:18" x14ac:dyDescent="0.3">
      <c r="A27" s="150">
        <f>EINGABEN!A27</f>
        <v>2.7182818284590451</v>
      </c>
      <c r="B27" s="170">
        <f>EINGABEN!F27</f>
        <v>2.7182818284590451</v>
      </c>
      <c r="C27" s="106"/>
      <c r="D27" s="106">
        <f t="shared" si="2"/>
        <v>3.677441639463942E-4</v>
      </c>
      <c r="E27" s="106">
        <f t="shared" si="3"/>
        <v>3.677441639463942E-4</v>
      </c>
      <c r="F27" s="151">
        <f>(LN(((LN((2.7182813^(C52*(LN((A27+0.001))^C54))))))))</f>
        <v>0.69426427071009966</v>
      </c>
      <c r="G27" s="141">
        <f t="shared" si="0"/>
        <v>1.3523577011663246E-7</v>
      </c>
      <c r="H27" s="141">
        <f t="shared" si="1"/>
        <v>1.3523577011663246E-7</v>
      </c>
      <c r="I27" s="141">
        <f t="shared" si="1"/>
        <v>1.3523577011663246E-7</v>
      </c>
      <c r="J27" s="143" t="str">
        <f>IF(EINGABEN!C27="","",EINGABEN!C27)</f>
        <v/>
      </c>
      <c r="K27" s="255" t="str">
        <f t="shared" si="4"/>
        <v/>
      </c>
      <c r="L27" s="138" t="str">
        <f t="shared" si="5"/>
        <v/>
      </c>
      <c r="M27" s="138" t="str">
        <f t="shared" si="6"/>
        <v/>
      </c>
      <c r="N27" s="138"/>
      <c r="O27" s="138"/>
      <c r="P27" s="139"/>
      <c r="Q27" s="139"/>
      <c r="R27" s="139"/>
    </row>
    <row r="28" spans="1:18" x14ac:dyDescent="0.3">
      <c r="A28" s="150">
        <f>EINGABEN!A28</f>
        <v>2.7182818284590451</v>
      </c>
      <c r="B28" s="170">
        <f>EINGABEN!F28</f>
        <v>2.7182818284590451</v>
      </c>
      <c r="C28" s="106"/>
      <c r="D28" s="106">
        <f t="shared" si="2"/>
        <v>3.677441639463942E-4</v>
      </c>
      <c r="E28" s="106">
        <f t="shared" si="3"/>
        <v>3.677441639463942E-4</v>
      </c>
      <c r="F28" s="151">
        <f>(LN(((LN((2.7182813^(C52*(LN((A28+0.001))^C54))))))))</f>
        <v>0.69426427071009966</v>
      </c>
      <c r="G28" s="141">
        <f t="shared" si="0"/>
        <v>1.3523577011663246E-7</v>
      </c>
      <c r="H28" s="141">
        <f t="shared" si="1"/>
        <v>1.3523577011663246E-7</v>
      </c>
      <c r="I28" s="141">
        <f t="shared" si="1"/>
        <v>1.3523577011663246E-7</v>
      </c>
      <c r="J28" s="152" t="str">
        <f>IF(EINGABEN!C28="","",EINGABEN!C28)</f>
        <v/>
      </c>
      <c r="K28" s="260" t="str">
        <f t="shared" si="4"/>
        <v/>
      </c>
      <c r="L28" s="139" t="str">
        <f t="shared" si="5"/>
        <v/>
      </c>
      <c r="M28" s="139" t="str">
        <f t="shared" si="6"/>
        <v/>
      </c>
      <c r="N28" s="139"/>
      <c r="O28" s="138"/>
      <c r="P28" s="139"/>
      <c r="Q28" s="139"/>
      <c r="R28" s="139"/>
    </row>
    <row r="29" spans="1:18" x14ac:dyDescent="0.3">
      <c r="A29" s="150">
        <f>EINGABEN!A29</f>
        <v>2.7182818284590451</v>
      </c>
      <c r="B29" s="170">
        <f>EINGABEN!F29</f>
        <v>2.7182818284590451</v>
      </c>
      <c r="C29" s="106"/>
      <c r="D29" s="106">
        <f t="shared" si="2"/>
        <v>3.677441639463942E-4</v>
      </c>
      <c r="E29" s="106">
        <f t="shared" si="3"/>
        <v>3.677441639463942E-4</v>
      </c>
      <c r="F29" s="151">
        <f>(LN(((LN((2.7182813^(C52*(LN((A29+0.001))^C54))))))))</f>
        <v>0.69426427071009966</v>
      </c>
      <c r="G29" s="141">
        <f t="shared" si="0"/>
        <v>1.3523577011663246E-7</v>
      </c>
      <c r="H29" s="141">
        <f t="shared" si="1"/>
        <v>1.3523577011663246E-7</v>
      </c>
      <c r="I29" s="141">
        <f t="shared" si="1"/>
        <v>1.3523577011663246E-7</v>
      </c>
      <c r="J29" s="152" t="str">
        <f>IF(EINGABEN!C29="","",EINGABEN!C29)</f>
        <v/>
      </c>
      <c r="K29" s="260" t="str">
        <f t="shared" si="4"/>
        <v/>
      </c>
      <c r="L29" s="139" t="str">
        <f t="shared" si="5"/>
        <v/>
      </c>
      <c r="M29" s="139" t="str">
        <f t="shared" si="6"/>
        <v/>
      </c>
      <c r="N29" s="139"/>
      <c r="O29" s="138"/>
      <c r="P29" s="139"/>
      <c r="Q29" s="139"/>
      <c r="R29" s="139"/>
    </row>
    <row r="30" spans="1:18" x14ac:dyDescent="0.3">
      <c r="A30" s="150">
        <f>EINGABEN!A30</f>
        <v>2.7182818284590451</v>
      </c>
      <c r="B30" s="170">
        <f>EINGABEN!F30</f>
        <v>2.7182818284590451</v>
      </c>
      <c r="C30" s="106"/>
      <c r="D30" s="106">
        <f t="shared" si="2"/>
        <v>3.677441639463942E-4</v>
      </c>
      <c r="E30" s="106">
        <f t="shared" si="3"/>
        <v>3.677441639463942E-4</v>
      </c>
      <c r="F30" s="151">
        <f>(LN(((LN((2.7182813^(C52*(LN((A30+0.001))^C54))))))))</f>
        <v>0.69426427071009966</v>
      </c>
      <c r="G30" s="141">
        <f t="shared" si="0"/>
        <v>1.3523577011663246E-7</v>
      </c>
      <c r="H30" s="141">
        <f t="shared" si="1"/>
        <v>1.3523577011663246E-7</v>
      </c>
      <c r="I30" s="141">
        <f t="shared" si="1"/>
        <v>1.3523577011663246E-7</v>
      </c>
      <c r="J30" s="152" t="str">
        <f>IF(EINGABEN!C30="","",EINGABEN!C30)</f>
        <v/>
      </c>
      <c r="K30" s="260" t="str">
        <f t="shared" si="4"/>
        <v/>
      </c>
      <c r="L30" s="139" t="str">
        <f t="shared" si="5"/>
        <v/>
      </c>
      <c r="M30" s="139" t="str">
        <f t="shared" si="6"/>
        <v/>
      </c>
      <c r="N30" s="139"/>
      <c r="O30" s="138"/>
      <c r="P30" s="139"/>
      <c r="Q30" s="139"/>
      <c r="R30" s="139"/>
    </row>
    <row r="31" spans="1:18" x14ac:dyDescent="0.3">
      <c r="A31" s="150">
        <f>EINGABEN!A31</f>
        <v>2.7182818284590451</v>
      </c>
      <c r="B31" s="170">
        <f>EINGABEN!F31</f>
        <v>2.7182818284590451</v>
      </c>
      <c r="C31" s="106"/>
      <c r="D31" s="106">
        <f t="shared" si="2"/>
        <v>3.677441639463942E-4</v>
      </c>
      <c r="E31" s="106">
        <f t="shared" si="3"/>
        <v>3.677441639463942E-4</v>
      </c>
      <c r="F31" s="151">
        <f>(LN(((LN((2.7182813^(C52*(LN((A31+0.001))^C54))))))))</f>
        <v>0.69426427071009966</v>
      </c>
      <c r="G31" s="141">
        <f t="shared" si="0"/>
        <v>1.3523577011663246E-7</v>
      </c>
      <c r="H31" s="141">
        <f t="shared" si="1"/>
        <v>1.3523577011663246E-7</v>
      </c>
      <c r="I31" s="141">
        <f t="shared" si="1"/>
        <v>1.3523577011663246E-7</v>
      </c>
      <c r="J31" s="152" t="str">
        <f>IF(EINGABEN!C31="","",EINGABEN!C31)</f>
        <v/>
      </c>
      <c r="K31" s="260" t="str">
        <f t="shared" si="4"/>
        <v/>
      </c>
      <c r="L31" s="139" t="str">
        <f t="shared" si="5"/>
        <v/>
      </c>
      <c r="M31" s="139" t="str">
        <f t="shared" si="6"/>
        <v/>
      </c>
      <c r="N31" s="139"/>
      <c r="O31" s="138"/>
      <c r="P31" s="139"/>
      <c r="Q31" s="139"/>
      <c r="R31" s="139"/>
    </row>
    <row r="32" spans="1:18" x14ac:dyDescent="0.3">
      <c r="A32" s="150">
        <f>EINGABEN!A32</f>
        <v>2.7182818284590451</v>
      </c>
      <c r="B32" s="170">
        <f>EINGABEN!F32</f>
        <v>2.7182818284590451</v>
      </c>
      <c r="C32" s="106"/>
      <c r="D32" s="106">
        <f t="shared" si="2"/>
        <v>3.677441639463942E-4</v>
      </c>
      <c r="E32" s="106">
        <f t="shared" si="3"/>
        <v>3.677441639463942E-4</v>
      </c>
      <c r="F32" s="151">
        <f>(LN(((LN((2.7182813^(C52*(LN((A32+0.001))^C54))))))))</f>
        <v>0.69426427071009966</v>
      </c>
      <c r="G32" s="141">
        <f t="shared" si="0"/>
        <v>1.3523577011663246E-7</v>
      </c>
      <c r="H32" s="141">
        <f t="shared" si="1"/>
        <v>1.3523577011663246E-7</v>
      </c>
      <c r="I32" s="141">
        <f t="shared" si="1"/>
        <v>1.3523577011663246E-7</v>
      </c>
      <c r="J32" s="152" t="str">
        <f>IF(EINGABEN!C32="","",EINGABEN!C32)</f>
        <v/>
      </c>
      <c r="K32" s="260" t="str">
        <f t="shared" si="4"/>
        <v/>
      </c>
      <c r="L32" s="139" t="str">
        <f t="shared" si="5"/>
        <v/>
      </c>
      <c r="M32" s="139" t="str">
        <f t="shared" si="6"/>
        <v/>
      </c>
      <c r="N32" s="139"/>
      <c r="O32" s="138"/>
      <c r="P32" s="139"/>
      <c r="Q32" s="139"/>
      <c r="R32" s="139"/>
    </row>
    <row r="33" spans="1:18" x14ac:dyDescent="0.3">
      <c r="A33" s="150">
        <f>EINGABEN!A33</f>
        <v>2.7182818284590451</v>
      </c>
      <c r="B33" s="170">
        <f>EINGABEN!F33</f>
        <v>2.7182818284590451</v>
      </c>
      <c r="C33" s="106"/>
      <c r="D33" s="106">
        <f t="shared" si="2"/>
        <v>3.677441639463942E-4</v>
      </c>
      <c r="E33" s="106">
        <f t="shared" si="3"/>
        <v>3.677441639463942E-4</v>
      </c>
      <c r="F33" s="151">
        <f>(LN(((LN((2.7182813^(C52*(LN((A33+0.001))^C54))))))))</f>
        <v>0.69426427071009966</v>
      </c>
      <c r="G33" s="141">
        <f t="shared" si="0"/>
        <v>1.3523577011663246E-7</v>
      </c>
      <c r="H33" s="141">
        <f t="shared" si="1"/>
        <v>1.3523577011663246E-7</v>
      </c>
      <c r="I33" s="141">
        <f t="shared" si="1"/>
        <v>1.3523577011663246E-7</v>
      </c>
      <c r="J33" s="152" t="str">
        <f>IF(EINGABEN!C33="","",EINGABEN!C33)</f>
        <v/>
      </c>
      <c r="K33" s="260" t="str">
        <f t="shared" si="4"/>
        <v/>
      </c>
      <c r="L33" s="139" t="str">
        <f t="shared" si="5"/>
        <v/>
      </c>
      <c r="M33" s="139" t="str">
        <f t="shared" si="6"/>
        <v/>
      </c>
      <c r="N33" s="139"/>
      <c r="O33" s="138"/>
      <c r="P33" s="139"/>
      <c r="Q33" s="139"/>
      <c r="R33" s="139"/>
    </row>
    <row r="34" spans="1:18" x14ac:dyDescent="0.3">
      <c r="A34" s="150">
        <f>EINGABEN!A34</f>
        <v>2.7182818284590451</v>
      </c>
      <c r="B34" s="170">
        <f>EINGABEN!F34</f>
        <v>2.7182818284590451</v>
      </c>
      <c r="C34" s="106"/>
      <c r="D34" s="106">
        <f t="shared" si="2"/>
        <v>3.677441639463942E-4</v>
      </c>
      <c r="E34" s="106">
        <f t="shared" si="3"/>
        <v>3.677441639463942E-4</v>
      </c>
      <c r="F34" s="151">
        <f>(LN(((LN((2.7182813^(C52*(LN((A34+0.001))^C54))))))))</f>
        <v>0.69426427071009966</v>
      </c>
      <c r="G34" s="141">
        <f t="shared" si="0"/>
        <v>1.3523577011663246E-7</v>
      </c>
      <c r="H34" s="141">
        <f t="shared" si="1"/>
        <v>1.3523577011663246E-7</v>
      </c>
      <c r="I34" s="141">
        <f t="shared" si="1"/>
        <v>1.3523577011663246E-7</v>
      </c>
      <c r="J34" s="152" t="str">
        <f>IF(EINGABEN!C34="","",EINGABEN!C34)</f>
        <v/>
      </c>
      <c r="K34" s="260" t="str">
        <f t="shared" si="4"/>
        <v/>
      </c>
      <c r="L34" s="139" t="str">
        <f t="shared" si="5"/>
        <v/>
      </c>
      <c r="M34" s="139" t="str">
        <f t="shared" si="6"/>
        <v/>
      </c>
      <c r="N34" s="139"/>
      <c r="O34" s="138"/>
      <c r="P34" s="139"/>
      <c r="Q34" s="139"/>
      <c r="R34" s="139"/>
    </row>
    <row r="35" spans="1:18" x14ac:dyDescent="0.3">
      <c r="A35" s="150">
        <f>EINGABEN!A35</f>
        <v>2.7182818284590451</v>
      </c>
      <c r="B35" s="170">
        <f>EINGABEN!F35</f>
        <v>2.7182818284590451</v>
      </c>
      <c r="C35" s="106"/>
      <c r="D35" s="106">
        <f t="shared" si="2"/>
        <v>3.677441639463942E-4</v>
      </c>
      <c r="E35" s="106">
        <f t="shared" si="3"/>
        <v>3.677441639463942E-4</v>
      </c>
      <c r="F35" s="151">
        <f>(LN(((LN((2.7182813^(C52*(LN((A35+0.001))^C54))))))))</f>
        <v>0.69426427071009966</v>
      </c>
      <c r="G35" s="141">
        <f t="shared" si="0"/>
        <v>1.3523577011663246E-7</v>
      </c>
      <c r="H35" s="141">
        <f t="shared" si="1"/>
        <v>1.3523577011663246E-7</v>
      </c>
      <c r="I35" s="141">
        <f t="shared" si="1"/>
        <v>1.3523577011663246E-7</v>
      </c>
      <c r="J35" s="152" t="str">
        <f>IF(EINGABEN!C35="","",EINGABEN!C35)</f>
        <v/>
      </c>
      <c r="K35" s="260" t="str">
        <f t="shared" si="4"/>
        <v/>
      </c>
      <c r="L35" s="139" t="str">
        <f t="shared" si="5"/>
        <v/>
      </c>
      <c r="M35" s="139" t="str">
        <f t="shared" si="6"/>
        <v/>
      </c>
      <c r="N35" s="139"/>
      <c r="O35" s="138"/>
      <c r="P35" s="139"/>
      <c r="Q35" s="139"/>
      <c r="R35" s="139"/>
    </row>
    <row r="36" spans="1:18" x14ac:dyDescent="0.3">
      <c r="A36" s="150">
        <f>EINGABEN!A36</f>
        <v>2.7182818284590451</v>
      </c>
      <c r="B36" s="170">
        <f>EINGABEN!F36</f>
        <v>2.7182818284590451</v>
      </c>
      <c r="C36" s="106"/>
      <c r="D36" s="106">
        <f t="shared" si="2"/>
        <v>3.677441639463942E-4</v>
      </c>
      <c r="E36" s="106">
        <f t="shared" si="3"/>
        <v>3.677441639463942E-4</v>
      </c>
      <c r="F36" s="151">
        <f>(LN(((LN((2.7182813^(C52*(LN((A36+0.001))^C54))))))))</f>
        <v>0.69426427071009966</v>
      </c>
      <c r="G36" s="141">
        <f t="shared" si="0"/>
        <v>1.3523577011663246E-7</v>
      </c>
      <c r="H36" s="141">
        <f t="shared" si="1"/>
        <v>1.3523577011663246E-7</v>
      </c>
      <c r="I36" s="141">
        <f t="shared" si="1"/>
        <v>1.3523577011663246E-7</v>
      </c>
      <c r="J36" s="152" t="str">
        <f>IF(EINGABEN!C36="","",EINGABEN!C36)</f>
        <v/>
      </c>
      <c r="K36" s="260" t="str">
        <f t="shared" si="4"/>
        <v/>
      </c>
      <c r="L36" s="139" t="str">
        <f t="shared" si="5"/>
        <v/>
      </c>
      <c r="M36" s="139" t="str">
        <f t="shared" si="6"/>
        <v/>
      </c>
      <c r="N36" s="139"/>
      <c r="O36" s="138"/>
      <c r="P36" s="139"/>
      <c r="Q36" s="139"/>
      <c r="R36" s="139"/>
    </row>
    <row r="37" spans="1:18" x14ac:dyDescent="0.3">
      <c r="A37" s="150">
        <f>EINGABEN!A37</f>
        <v>2.7182818284590451</v>
      </c>
      <c r="B37" s="170">
        <f>EINGABEN!F37</f>
        <v>2.7182818284590451</v>
      </c>
      <c r="C37" s="106"/>
      <c r="D37" s="106">
        <f t="shared" si="2"/>
        <v>3.677441639463942E-4</v>
      </c>
      <c r="E37" s="106">
        <f t="shared" si="3"/>
        <v>3.677441639463942E-4</v>
      </c>
      <c r="F37" s="151">
        <f>(LN(((LN((2.7182813^(C52*(LN((A37+0.001))^C54))))))))</f>
        <v>0.69426427071009966</v>
      </c>
      <c r="G37" s="141">
        <f t="shared" si="0"/>
        <v>1.3523577011663246E-7</v>
      </c>
      <c r="H37" s="141">
        <f t="shared" si="1"/>
        <v>1.3523577011663246E-7</v>
      </c>
      <c r="I37" s="141">
        <f t="shared" si="1"/>
        <v>1.3523577011663246E-7</v>
      </c>
      <c r="J37" s="152" t="str">
        <f>IF(EINGABEN!C37="","",EINGABEN!C37)</f>
        <v/>
      </c>
      <c r="K37" s="260" t="str">
        <f t="shared" si="4"/>
        <v/>
      </c>
      <c r="L37" s="139" t="str">
        <f t="shared" si="5"/>
        <v/>
      </c>
      <c r="M37" s="139" t="str">
        <f t="shared" si="6"/>
        <v/>
      </c>
      <c r="N37" s="139"/>
      <c r="O37" s="138"/>
      <c r="P37" s="139"/>
      <c r="Q37" s="139"/>
      <c r="R37" s="139"/>
    </row>
    <row r="38" spans="1:18" x14ac:dyDescent="0.3">
      <c r="A38" s="150">
        <f>EINGABEN!A38</f>
        <v>2.7182818284590451</v>
      </c>
      <c r="B38" s="170">
        <f>EINGABEN!F38</f>
        <v>2.7182818284590451</v>
      </c>
      <c r="C38" s="106"/>
      <c r="D38" s="106">
        <f t="shared" si="2"/>
        <v>3.677441639463942E-4</v>
      </c>
      <c r="E38" s="106">
        <f t="shared" si="3"/>
        <v>3.677441639463942E-4</v>
      </c>
      <c r="F38" s="151">
        <f>(LN(((LN((2.7182813^(C52*(LN((A38+0.001))^C54))))))))</f>
        <v>0.69426427071009966</v>
      </c>
      <c r="G38" s="141">
        <f t="shared" si="0"/>
        <v>1.3523577011663246E-7</v>
      </c>
      <c r="H38" s="141">
        <f t="shared" si="1"/>
        <v>1.3523577011663246E-7</v>
      </c>
      <c r="I38" s="141">
        <f t="shared" si="1"/>
        <v>1.3523577011663246E-7</v>
      </c>
      <c r="J38" s="152" t="str">
        <f>IF(EINGABEN!C38="","",EINGABEN!C38)</f>
        <v/>
      </c>
      <c r="K38" s="260" t="str">
        <f t="shared" si="4"/>
        <v/>
      </c>
      <c r="L38" s="139" t="str">
        <f t="shared" si="5"/>
        <v/>
      </c>
      <c r="M38" s="139" t="str">
        <f t="shared" si="6"/>
        <v/>
      </c>
      <c r="N38" s="139"/>
      <c r="O38" s="138"/>
      <c r="P38" s="139"/>
      <c r="Q38" s="139"/>
      <c r="R38" s="139"/>
    </row>
    <row r="39" spans="1:18" x14ac:dyDescent="0.3">
      <c r="A39" s="150">
        <f>EINGABEN!A39</f>
        <v>2.7182818284590451</v>
      </c>
      <c r="B39" s="170">
        <f>EINGABEN!F39</f>
        <v>2.7182818284590451</v>
      </c>
      <c r="C39" s="106"/>
      <c r="D39" s="106">
        <f t="shared" si="2"/>
        <v>3.677441639463942E-4</v>
      </c>
      <c r="E39" s="106">
        <f t="shared" si="3"/>
        <v>3.677441639463942E-4</v>
      </c>
      <c r="F39" s="151">
        <f>(LN(((LN((2.7182813^(C52*(LN((A39+0.001))^C54))))))))</f>
        <v>0.69426427071009966</v>
      </c>
      <c r="G39" s="141">
        <f t="shared" si="0"/>
        <v>1.3523577011663246E-7</v>
      </c>
      <c r="H39" s="141">
        <f t="shared" si="1"/>
        <v>1.3523577011663246E-7</v>
      </c>
      <c r="I39" s="141">
        <f t="shared" si="1"/>
        <v>1.3523577011663246E-7</v>
      </c>
      <c r="J39" s="152" t="str">
        <f>IF(EINGABEN!C39="","",EINGABEN!C39)</f>
        <v/>
      </c>
      <c r="K39" s="260" t="str">
        <f t="shared" si="4"/>
        <v/>
      </c>
      <c r="L39" s="139" t="str">
        <f t="shared" si="5"/>
        <v/>
      </c>
      <c r="M39" s="139" t="str">
        <f t="shared" si="6"/>
        <v/>
      </c>
      <c r="N39" s="139"/>
      <c r="O39" s="138"/>
      <c r="P39" s="139"/>
      <c r="Q39" s="139"/>
      <c r="R39" s="139"/>
    </row>
    <row r="40" spans="1:18" x14ac:dyDescent="0.3">
      <c r="A40" s="150">
        <f>EINGABEN!A40</f>
        <v>2.7182818284590451</v>
      </c>
      <c r="B40" s="170">
        <f>EINGABEN!F40</f>
        <v>2.7182818284590451</v>
      </c>
      <c r="C40" s="106"/>
      <c r="D40" s="106">
        <f t="shared" si="2"/>
        <v>3.677441639463942E-4</v>
      </c>
      <c r="E40" s="106">
        <f t="shared" si="3"/>
        <v>3.677441639463942E-4</v>
      </c>
      <c r="F40" s="151">
        <f>(LN(((LN((2.7182813^(C52*(LN((A40+0.001))^C54))))))))</f>
        <v>0.69426427071009966</v>
      </c>
      <c r="G40" s="141">
        <f t="shared" si="0"/>
        <v>1.3523577011663246E-7</v>
      </c>
      <c r="H40" s="141">
        <f t="shared" si="1"/>
        <v>1.3523577011663246E-7</v>
      </c>
      <c r="I40" s="141">
        <f t="shared" si="1"/>
        <v>1.3523577011663246E-7</v>
      </c>
      <c r="J40" s="152" t="str">
        <f>IF(EINGABEN!C40="","",EINGABEN!C40)</f>
        <v/>
      </c>
      <c r="K40" s="260" t="str">
        <f t="shared" si="4"/>
        <v/>
      </c>
      <c r="L40" s="139" t="str">
        <f t="shared" si="5"/>
        <v/>
      </c>
      <c r="M40" s="139" t="str">
        <f t="shared" si="6"/>
        <v/>
      </c>
      <c r="N40" s="139"/>
      <c r="O40" s="138"/>
      <c r="P40" s="139"/>
      <c r="Q40" s="139"/>
      <c r="R40" s="139"/>
    </row>
    <row r="41" spans="1:18" x14ac:dyDescent="0.3">
      <c r="A41" s="150">
        <f>EINGABEN!A41</f>
        <v>2.7182818284590451</v>
      </c>
      <c r="B41" s="170">
        <f>EINGABEN!F41</f>
        <v>2.7182818284590451</v>
      </c>
      <c r="C41" s="106"/>
      <c r="D41" s="106">
        <f t="shared" si="2"/>
        <v>3.677441639463942E-4</v>
      </c>
      <c r="E41" s="106">
        <f t="shared" si="3"/>
        <v>3.677441639463942E-4</v>
      </c>
      <c r="F41" s="151">
        <f>(LN(((LN((2.7182813^(C52*(LN((A41+0.001))^C54))))))))</f>
        <v>0.69426427071009966</v>
      </c>
      <c r="G41" s="141">
        <f t="shared" si="0"/>
        <v>1.3523577011663246E-7</v>
      </c>
      <c r="H41" s="141">
        <f t="shared" si="1"/>
        <v>1.3523577011663246E-7</v>
      </c>
      <c r="I41" s="141">
        <f t="shared" si="1"/>
        <v>1.3523577011663246E-7</v>
      </c>
      <c r="J41" s="152" t="str">
        <f>IF(EINGABEN!C41="","",EINGABEN!C41)</f>
        <v/>
      </c>
      <c r="K41" s="260" t="str">
        <f t="shared" si="4"/>
        <v/>
      </c>
      <c r="L41" s="139" t="str">
        <f t="shared" si="5"/>
        <v/>
      </c>
      <c r="M41" s="139" t="str">
        <f t="shared" si="6"/>
        <v/>
      </c>
      <c r="N41" s="139"/>
      <c r="O41" s="138"/>
      <c r="P41" s="139"/>
      <c r="Q41" s="139"/>
      <c r="R41" s="139"/>
    </row>
    <row r="42" spans="1:18" x14ac:dyDescent="0.3">
      <c r="A42" s="150">
        <f>EINGABEN!A42</f>
        <v>2.7182818284590451</v>
      </c>
      <c r="B42" s="170">
        <f>EINGABEN!F42</f>
        <v>2.7182818284590451</v>
      </c>
      <c r="C42" s="106"/>
      <c r="D42" s="106">
        <f t="shared" si="2"/>
        <v>3.677441639463942E-4</v>
      </c>
      <c r="E42" s="106">
        <f t="shared" si="3"/>
        <v>3.677441639463942E-4</v>
      </c>
      <c r="F42" s="151">
        <f>(LN(((LN((2.7182813^(C52*(LN((A42+0.001))^C54))))))))</f>
        <v>0.69426427071009966</v>
      </c>
      <c r="G42" s="141">
        <f t="shared" si="0"/>
        <v>1.3523577011663246E-7</v>
      </c>
      <c r="H42" s="141">
        <f t="shared" si="1"/>
        <v>1.3523577011663246E-7</v>
      </c>
      <c r="I42" s="141">
        <f t="shared" si="1"/>
        <v>1.3523577011663246E-7</v>
      </c>
      <c r="J42" s="152" t="str">
        <f>IF(EINGABEN!C42="","",EINGABEN!C42)</f>
        <v/>
      </c>
      <c r="K42" s="260" t="str">
        <f t="shared" si="4"/>
        <v/>
      </c>
      <c r="L42" s="139" t="str">
        <f t="shared" si="5"/>
        <v/>
      </c>
      <c r="M42" s="139" t="str">
        <f t="shared" si="6"/>
        <v/>
      </c>
      <c r="N42" s="139"/>
      <c r="O42" s="138"/>
      <c r="P42" s="139"/>
      <c r="Q42" s="139"/>
      <c r="R42" s="139"/>
    </row>
    <row r="43" spans="1:18" x14ac:dyDescent="0.3">
      <c r="A43" s="150">
        <f>EINGABEN!A43</f>
        <v>2.7182818284590451</v>
      </c>
      <c r="B43" s="170">
        <f>EINGABEN!F43</f>
        <v>2.7182818284590451</v>
      </c>
      <c r="C43" s="106"/>
      <c r="D43" s="106">
        <f t="shared" si="2"/>
        <v>3.677441639463942E-4</v>
      </c>
      <c r="E43" s="106">
        <f t="shared" si="3"/>
        <v>3.677441639463942E-4</v>
      </c>
      <c r="F43" s="151">
        <f>(LN(((LN((2.7182813^(C52*(LN((A43+0.001))^C54))))))))</f>
        <v>0.69426427071009966</v>
      </c>
      <c r="G43" s="141">
        <f t="shared" si="0"/>
        <v>1.3523577011663246E-7</v>
      </c>
      <c r="H43" s="141">
        <f t="shared" si="1"/>
        <v>1.3523577011663246E-7</v>
      </c>
      <c r="I43" s="141">
        <f t="shared" si="1"/>
        <v>1.3523577011663246E-7</v>
      </c>
      <c r="J43" s="152" t="str">
        <f>IF(EINGABEN!C43="","",EINGABEN!C43)</f>
        <v/>
      </c>
      <c r="K43" s="260" t="str">
        <f t="shared" si="4"/>
        <v/>
      </c>
      <c r="L43" s="139" t="str">
        <f t="shared" si="5"/>
        <v/>
      </c>
      <c r="M43" s="139" t="str">
        <f t="shared" si="6"/>
        <v/>
      </c>
      <c r="N43" s="139"/>
      <c r="O43" s="138"/>
      <c r="P43" s="139"/>
      <c r="Q43" s="139"/>
      <c r="R43" s="139"/>
    </row>
    <row r="44" spans="1:18" x14ac:dyDescent="0.3">
      <c r="A44" s="150">
        <f>EINGABEN!A44</f>
        <v>2.7182818284590451</v>
      </c>
      <c r="B44" s="170">
        <f>EINGABEN!F44</f>
        <v>2.7182818284590451</v>
      </c>
      <c r="C44" s="106"/>
      <c r="D44" s="106">
        <f t="shared" si="2"/>
        <v>3.677441639463942E-4</v>
      </c>
      <c r="E44" s="106">
        <f t="shared" si="3"/>
        <v>3.677441639463942E-4</v>
      </c>
      <c r="F44" s="151">
        <f>(LN(((LN((2.7182813^(C52*(LN((A44+0.001))^C54))))))))</f>
        <v>0.69426427071009966</v>
      </c>
      <c r="G44" s="141">
        <f t="shared" si="0"/>
        <v>1.3523577011663246E-7</v>
      </c>
      <c r="H44" s="141">
        <f t="shared" si="1"/>
        <v>1.3523577011663246E-7</v>
      </c>
      <c r="I44" s="141">
        <f t="shared" si="1"/>
        <v>1.3523577011663246E-7</v>
      </c>
      <c r="J44" s="152" t="str">
        <f>IF(EINGABEN!C44="","",EINGABEN!C44)</f>
        <v/>
      </c>
      <c r="K44" s="260" t="str">
        <f t="shared" si="4"/>
        <v/>
      </c>
      <c r="L44" s="139" t="str">
        <f t="shared" si="5"/>
        <v/>
      </c>
      <c r="M44" s="139" t="str">
        <f t="shared" si="6"/>
        <v/>
      </c>
      <c r="N44" s="139"/>
      <c r="O44" s="138"/>
      <c r="P44" s="139"/>
      <c r="Q44" s="139"/>
      <c r="R44" s="139"/>
    </row>
    <row r="45" spans="1:18" ht="15" thickBot="1" x14ac:dyDescent="0.35">
      <c r="A45" s="207">
        <f>EINGABEN!A45</f>
        <v>2.7182818284590451</v>
      </c>
      <c r="B45" s="184">
        <f>EINGABEN!F45</f>
        <v>2.7182818284590451</v>
      </c>
      <c r="C45" s="208"/>
      <c r="D45" s="208">
        <f t="shared" si="2"/>
        <v>3.677441639463942E-4</v>
      </c>
      <c r="E45" s="208">
        <f t="shared" si="3"/>
        <v>3.677441639463942E-4</v>
      </c>
      <c r="F45" s="161">
        <f>(LN(((LN((2.7182813^(C52*(LN((A45+0.001))^C54))))))))</f>
        <v>0.69426427071009966</v>
      </c>
      <c r="G45" s="141">
        <f t="shared" si="0"/>
        <v>1.3523577011663246E-7</v>
      </c>
      <c r="H45" s="141">
        <f t="shared" si="1"/>
        <v>1.3523577011663246E-7</v>
      </c>
      <c r="I45" s="141">
        <f t="shared" si="1"/>
        <v>1.3523577011663246E-7</v>
      </c>
      <c r="J45" s="152" t="str">
        <f>IF(EINGABEN!C45="","",EINGABEN!C45)</f>
        <v/>
      </c>
      <c r="K45" s="260" t="str">
        <f t="shared" si="4"/>
        <v/>
      </c>
      <c r="L45" s="139" t="str">
        <f t="shared" si="5"/>
        <v/>
      </c>
      <c r="M45" s="139" t="str">
        <f t="shared" si="6"/>
        <v/>
      </c>
      <c r="N45" s="139"/>
      <c r="O45" s="138"/>
      <c r="P45" s="139"/>
      <c r="Q45" s="139"/>
      <c r="R45" s="139"/>
    </row>
    <row r="46" spans="1:18" ht="15" thickTop="1" x14ac:dyDescent="0.3">
      <c r="A46" s="175" t="s">
        <v>44</v>
      </c>
      <c r="B46" s="61"/>
      <c r="C46" s="61"/>
      <c r="D46" s="61"/>
      <c r="E46" s="51"/>
      <c r="F46" s="177"/>
      <c r="G46" s="138"/>
      <c r="H46" s="138"/>
      <c r="I46" s="138"/>
      <c r="J46" s="139"/>
      <c r="K46" s="156"/>
      <c r="L46" s="156" t="s">
        <v>116</v>
      </c>
      <c r="M46" s="156">
        <f>((SUM(M6:M45))/((EINGABEN!D46)-1))^0.5</f>
        <v>0.62307631268552399</v>
      </c>
      <c r="N46" s="139"/>
      <c r="O46" s="138"/>
      <c r="P46" s="139"/>
      <c r="Q46" s="139"/>
      <c r="R46" s="139"/>
    </row>
    <row r="47" spans="1:18" x14ac:dyDescent="0.3">
      <c r="A47" s="258" t="s">
        <v>40</v>
      </c>
      <c r="B47" s="51" t="s">
        <v>43</v>
      </c>
      <c r="C47" s="51"/>
      <c r="D47" s="51"/>
      <c r="E47" s="61"/>
      <c r="F47" s="177"/>
      <c r="G47" s="138"/>
      <c r="H47" s="138"/>
      <c r="I47" s="138"/>
      <c r="J47" s="138"/>
      <c r="K47" s="259"/>
      <c r="L47" s="259"/>
      <c r="M47" s="259"/>
      <c r="N47" s="138"/>
      <c r="O47" s="138"/>
      <c r="P47" s="139"/>
      <c r="Q47" s="139"/>
      <c r="R47" s="139"/>
    </row>
    <row r="48" spans="1:18" x14ac:dyDescent="0.3">
      <c r="A48" s="258" t="s">
        <v>41</v>
      </c>
      <c r="B48" s="49" t="s">
        <v>47</v>
      </c>
      <c r="C48" s="61"/>
      <c r="D48" s="61"/>
      <c r="E48" s="61"/>
      <c r="F48" s="177"/>
      <c r="G48" s="139"/>
      <c r="H48" s="139"/>
      <c r="I48" s="139"/>
      <c r="J48" s="139"/>
      <c r="K48" s="156" t="s">
        <v>117</v>
      </c>
      <c r="L48" s="156">
        <f>(SUM(L6:L45))/(EINGABEN!D46)</f>
        <v>81.910508523629773</v>
      </c>
      <c r="M48" s="156"/>
      <c r="N48" s="139"/>
      <c r="O48" s="139"/>
      <c r="P48" s="139"/>
      <c r="Q48" s="139"/>
      <c r="R48" s="139"/>
    </row>
    <row r="49" spans="1:18" ht="15" thickBot="1" x14ac:dyDescent="0.35">
      <c r="A49" s="221" t="s">
        <v>39</v>
      </c>
      <c r="B49" s="222"/>
      <c r="C49" s="222"/>
      <c r="D49" s="222"/>
      <c r="E49" s="222"/>
      <c r="F49" s="196"/>
      <c r="G49" s="139"/>
      <c r="H49" s="139"/>
      <c r="I49" s="139"/>
      <c r="J49" s="139"/>
      <c r="K49" s="139"/>
      <c r="L49" s="139"/>
      <c r="M49" s="139"/>
      <c r="N49" s="139"/>
      <c r="O49" s="139"/>
      <c r="P49" s="139"/>
      <c r="Q49" s="139"/>
      <c r="R49" s="139"/>
    </row>
    <row r="50" spans="1:18" ht="15" thickTop="1" x14ac:dyDescent="0.3">
      <c r="A50" s="223"/>
      <c r="B50" s="213"/>
      <c r="C50" s="213"/>
      <c r="D50" s="213"/>
      <c r="E50" s="213"/>
      <c r="F50" s="224"/>
      <c r="G50" s="139"/>
      <c r="H50" s="139"/>
      <c r="I50" s="139"/>
      <c r="J50" s="139"/>
      <c r="K50" s="139"/>
      <c r="L50" s="139"/>
      <c r="M50" s="139"/>
      <c r="N50" s="139"/>
      <c r="O50" s="139"/>
      <c r="P50" s="139"/>
      <c r="Q50" s="139"/>
      <c r="R50" s="139"/>
    </row>
    <row r="51" spans="1:18" x14ac:dyDescent="0.3">
      <c r="A51" s="175"/>
      <c r="B51" s="61"/>
      <c r="C51" s="61"/>
      <c r="D51" s="61"/>
      <c r="E51" s="61"/>
      <c r="F51" s="177"/>
      <c r="G51" s="139"/>
      <c r="H51" s="139"/>
      <c r="I51" s="139"/>
      <c r="J51" s="139"/>
      <c r="K51" s="139"/>
      <c r="L51" s="139"/>
      <c r="M51" s="139"/>
      <c r="N51" s="139"/>
      <c r="O51" s="139"/>
      <c r="P51" s="139"/>
      <c r="Q51" s="139"/>
      <c r="R51" s="139"/>
    </row>
    <row r="52" spans="1:18" x14ac:dyDescent="0.3">
      <c r="A52" s="225" t="s">
        <v>11</v>
      </c>
      <c r="B52" s="226"/>
      <c r="C52" s="164">
        <f>IF(MIN(EINGABEN!C6:'EINGABEN'!C45)&lt;1,"keine Lösung",IF(D59=0,0,ROUND((2.71828183^((E4-(C54*D4))/(C4))),6)))</f>
        <v>2.0015010000000002</v>
      </c>
      <c r="D52" s="61"/>
      <c r="E52" s="61"/>
      <c r="F52" s="177"/>
      <c r="G52" s="139"/>
      <c r="H52" s="139"/>
      <c r="I52" s="139"/>
      <c r="J52" s="139"/>
      <c r="K52" s="139"/>
      <c r="L52" s="139"/>
      <c r="M52" s="139"/>
      <c r="N52" s="139"/>
      <c r="O52" s="139"/>
      <c r="P52" s="139"/>
      <c r="Q52" s="139"/>
      <c r="R52" s="139"/>
    </row>
    <row r="53" spans="1:18" x14ac:dyDescent="0.3">
      <c r="A53" s="227"/>
      <c r="B53" s="195"/>
      <c r="C53" s="195"/>
      <c r="D53" s="61"/>
      <c r="E53" s="61"/>
      <c r="F53" s="177"/>
      <c r="G53" s="139"/>
      <c r="H53" s="139"/>
      <c r="I53" s="139"/>
      <c r="J53" s="139"/>
      <c r="K53" s="139"/>
      <c r="L53" s="139"/>
      <c r="M53" s="139"/>
      <c r="N53" s="139"/>
      <c r="O53" s="139"/>
      <c r="P53" s="139"/>
      <c r="Q53" s="139"/>
      <c r="R53" s="139"/>
    </row>
    <row r="54" spans="1:18" x14ac:dyDescent="0.3">
      <c r="A54" s="228" t="s">
        <v>12</v>
      </c>
      <c r="B54" s="195"/>
      <c r="C54" s="195">
        <f>IF(MIN(EINGABEN!C6:'EINGABEN'!C45)&lt;1,"keine Lösung",IF(D59=0,0,ROUND((C4*G4-D4*E4)/(C4*H4-(D4)^2),6)))</f>
        <v>0.99815600000000004</v>
      </c>
      <c r="D54" s="61"/>
      <c r="E54" s="61"/>
      <c r="F54" s="177"/>
      <c r="G54" s="139"/>
      <c r="H54" s="139"/>
      <c r="I54" s="139"/>
      <c r="J54" s="139"/>
      <c r="K54" s="139"/>
      <c r="L54" s="139"/>
      <c r="M54" s="139"/>
      <c r="N54" s="139"/>
      <c r="O54" s="139"/>
      <c r="P54" s="139"/>
      <c r="Q54" s="139"/>
      <c r="R54" s="139"/>
    </row>
    <row r="55" spans="1:18" x14ac:dyDescent="0.3">
      <c r="A55" s="227"/>
      <c r="B55" s="195"/>
      <c r="C55" s="195"/>
      <c r="D55" s="61"/>
      <c r="E55" s="61"/>
      <c r="F55" s="177"/>
      <c r="G55" s="139"/>
      <c r="H55" s="139"/>
      <c r="I55" s="139"/>
      <c r="J55" s="139"/>
      <c r="K55" s="139"/>
      <c r="L55" s="139"/>
      <c r="M55" s="139"/>
      <c r="N55" s="139"/>
      <c r="O55" s="139"/>
      <c r="P55" s="139"/>
      <c r="Q55" s="139"/>
      <c r="R55" s="139"/>
    </row>
    <row r="56" spans="1:18" x14ac:dyDescent="0.3">
      <c r="A56" s="228" t="s">
        <v>13</v>
      </c>
      <c r="B56" s="195"/>
      <c r="C56" s="195">
        <f>IF(MIN(EINGABEN!C6:'EINGABEN'!C45)&lt;1,"keine Lösung",IF(D59=0,0,IF(D58&amp;D59&gt;1,1,ROUND(ABS(D58/D59),6))))</f>
        <v>1</v>
      </c>
      <c r="D56" s="61"/>
      <c r="E56" s="61"/>
      <c r="F56" s="177"/>
      <c r="G56" s="139"/>
      <c r="H56" s="139"/>
      <c r="I56" s="139"/>
      <c r="J56" s="139"/>
      <c r="K56" s="139"/>
      <c r="L56" s="139"/>
      <c r="M56" s="139"/>
      <c r="N56" s="139"/>
      <c r="O56" s="139"/>
      <c r="P56" s="139"/>
      <c r="Q56" s="139"/>
      <c r="R56" s="139"/>
    </row>
    <row r="57" spans="1:18" ht="15" thickBot="1" x14ac:dyDescent="0.35">
      <c r="A57" s="221"/>
      <c r="B57" s="222"/>
      <c r="C57" s="222"/>
      <c r="D57" s="222"/>
      <c r="E57" s="222"/>
      <c r="F57" s="196"/>
      <c r="G57" s="139"/>
      <c r="H57" s="139"/>
      <c r="I57" s="139"/>
      <c r="J57" s="139"/>
      <c r="K57" s="139"/>
      <c r="L57" s="139"/>
      <c r="M57" s="139"/>
      <c r="N57" s="139"/>
      <c r="O57" s="139"/>
      <c r="P57" s="139"/>
      <c r="Q57" s="139"/>
      <c r="R57" s="139"/>
    </row>
    <row r="58" spans="1:18" ht="15" thickTop="1" x14ac:dyDescent="0.3">
      <c r="A58" s="228" t="s">
        <v>14</v>
      </c>
      <c r="B58" s="50"/>
      <c r="C58" s="171" t="s">
        <v>19</v>
      </c>
      <c r="D58" s="172">
        <f>(C4*G4-(D4*E4))</f>
        <v>31.56400099999999</v>
      </c>
      <c r="E58" s="202" t="s">
        <v>71</v>
      </c>
      <c r="F58" s="177"/>
      <c r="G58" s="139"/>
      <c r="H58" s="139"/>
      <c r="I58" s="139"/>
      <c r="J58" s="139"/>
      <c r="K58" s="139"/>
      <c r="L58" s="139"/>
      <c r="M58" s="139"/>
      <c r="N58" s="139"/>
      <c r="O58" s="139"/>
      <c r="P58" s="139"/>
      <c r="Q58" s="139"/>
      <c r="R58" s="139"/>
    </row>
    <row r="59" spans="1:18" x14ac:dyDescent="0.3">
      <c r="A59" s="229"/>
      <c r="B59" s="50"/>
      <c r="C59" s="171" t="s">
        <v>20</v>
      </c>
      <c r="D59" s="173">
        <f>((C4*H4-(D4)^2)*(C4*I4-(E4)^2))^0.5</f>
        <v>31.556482482019444</v>
      </c>
      <c r="E59" s="202" t="s">
        <v>71</v>
      </c>
      <c r="F59" s="177"/>
      <c r="G59" s="139"/>
      <c r="H59" s="139"/>
      <c r="I59" s="139"/>
      <c r="J59" s="139"/>
      <c r="K59" s="139"/>
      <c r="L59" s="139"/>
      <c r="M59" s="139"/>
      <c r="N59" s="139"/>
      <c r="O59" s="139"/>
      <c r="P59" s="139"/>
      <c r="Q59" s="139"/>
      <c r="R59" s="139"/>
    </row>
    <row r="60" spans="1:18" x14ac:dyDescent="0.3">
      <c r="A60" s="175"/>
      <c r="B60" s="61"/>
      <c r="C60" s="277" t="s">
        <v>110</v>
      </c>
      <c r="D60" s="278"/>
      <c r="E60" s="182">
        <f>IF(EINGABEN!D46&lt;10,"Anzahl zu klein",ROUND((E61*(1+E64/100)),2))</f>
        <v>102.63</v>
      </c>
      <c r="F60" s="177"/>
      <c r="G60" s="139"/>
      <c r="H60" s="139"/>
      <c r="I60" s="139"/>
      <c r="J60" s="139"/>
      <c r="K60" s="139"/>
      <c r="L60" s="139"/>
      <c r="M60" s="139"/>
      <c r="N60" s="139"/>
      <c r="O60" s="139"/>
      <c r="P60" s="139"/>
      <c r="Q60" s="139"/>
      <c r="R60" s="139"/>
    </row>
    <row r="61" spans="1:18" x14ac:dyDescent="0.3">
      <c r="A61" s="30" t="s">
        <v>15</v>
      </c>
      <c r="B61" s="187">
        <v>10</v>
      </c>
      <c r="C61" s="230" t="s">
        <v>16</v>
      </c>
      <c r="D61" s="195" t="s">
        <v>72</v>
      </c>
      <c r="E61" s="180">
        <f>IF(MIN(EINGABEN!C6:'EINGABEN'!C45)&lt;1,"keine Lösung",IF(C56=0,0,ROUND((2.71828183^(C52*(LN(B61))^C54)),2)))</f>
        <v>99.64</v>
      </c>
      <c r="F61" s="177"/>
    </row>
    <row r="62" spans="1:18" x14ac:dyDescent="0.3">
      <c r="A62" s="229" t="s">
        <v>63</v>
      </c>
      <c r="B62" s="50" t="s">
        <v>108</v>
      </c>
      <c r="C62" s="277" t="s">
        <v>111</v>
      </c>
      <c r="D62" s="278"/>
      <c r="E62" s="182">
        <f>IF(EINGABEN!D46&lt;10,"Anzahl zu klein",ROUND((E61*(1-E64/100)),2))</f>
        <v>96.65</v>
      </c>
      <c r="F62" s="177"/>
    </row>
    <row r="63" spans="1:18" x14ac:dyDescent="0.3">
      <c r="A63" s="30" t="s">
        <v>17</v>
      </c>
      <c r="B63" s="187">
        <v>99.64</v>
      </c>
      <c r="C63" s="230" t="s">
        <v>16</v>
      </c>
      <c r="D63" s="195" t="s">
        <v>70</v>
      </c>
      <c r="E63" s="180">
        <f>IF(MIN(EINGABEN!C6:'EINGABEN'!C45)&lt;1,"keine Lösung",IF(C56=0,0,ROUND((2.71828183^(2.71828183^((LN((LN(B63)/C52)))/C54))),1)))</f>
        <v>10</v>
      </c>
      <c r="F63" s="177"/>
    </row>
    <row r="64" spans="1:18" ht="15" thickBot="1" x14ac:dyDescent="0.35">
      <c r="A64" s="221" t="s">
        <v>133</v>
      </c>
      <c r="B64" s="205">
        <f>IF(MIN(EINGABEN!C6:'EINGABEN'!C45)&lt;1,"keine Lösung",IF(C56=0,0,ROUND((2.71828183^(C52*(LN(1))^C54)),2)))</f>
        <v>1</v>
      </c>
      <c r="C64" s="273" t="s">
        <v>119</v>
      </c>
      <c r="D64" s="273"/>
      <c r="E64" s="185">
        <f>IF(EINGABEN!D46&lt;10,"Anzahl zu klein",ROUND((((2.868009*(LN(LN(EINGABEN!D46)))^-2.421118)*M46)/L48)*100,0))</f>
        <v>3</v>
      </c>
      <c r="F64" s="196"/>
    </row>
    <row r="65" spans="3:4" ht="15" thickTop="1" x14ac:dyDescent="0.3">
      <c r="C65" s="213"/>
      <c r="D65" s="213"/>
    </row>
  </sheetData>
  <sheetProtection algorithmName="SHA-512" hashValue="Z1giINN9wDpNvV5uG+2akupJfpmMTYX+ssd+Ytff0ASKreL8B5qY5LQJCrgvKzN/KN2L6DqjgToVy4yda2sLcw==" saltValue="n5Z2eukYKcdLLOweizNr3g==" spinCount="100000" sheet="1" objects="1" scenarios="1"/>
  <mergeCells count="4">
    <mergeCell ref="A4:B4"/>
    <mergeCell ref="C60:D60"/>
    <mergeCell ref="C62:D62"/>
    <mergeCell ref="C64:D64"/>
  </mergeCells>
  <dataValidations count="4">
    <dataValidation showInputMessage="1" showErrorMessage="1" sqref="A6:A45 B6:B9" xr:uid="{00000000-0002-0000-0900-000000000000}"/>
    <dataValidation type="decimal" operator="greaterThan" allowBlank="1" showInputMessage="1" showErrorMessage="1" sqref="B63" xr:uid="{8D39B2F4-E0C0-43EB-8D6F-D935695DD34D}">
      <formula1>1</formula1>
    </dataValidation>
    <dataValidation type="decimal" operator="greaterThanOrEqual" allowBlank="1" showInputMessage="1" showErrorMessage="1" sqref="B61" xr:uid="{42EF667E-D97C-47FC-8AE3-B21FB1E19145}">
      <formula1>1</formula1>
    </dataValidation>
    <dataValidation operator="greaterThanOrEqual" allowBlank="1" showInputMessage="1" showErrorMessage="1" sqref="B62" xr:uid="{9603068E-5646-4D68-A77A-7B542FDF22F7}"/>
  </dataValidations>
  <pageMargins left="0.7" right="0.7" top="0.78740157499999996" bottom="0.78740157499999996" header="0.3" footer="0.3"/>
  <pageSetup paperSize="9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P624"/>
  <sheetViews>
    <sheetView topLeftCell="A16" zoomScaleNormal="100" workbookViewId="0">
      <selection activeCell="B64" sqref="B64"/>
    </sheetView>
  </sheetViews>
  <sheetFormatPr baseColWidth="10" defaultRowHeight="14.4" x14ac:dyDescent="0.3"/>
  <cols>
    <col min="1" max="1" width="18.44140625" style="140" customWidth="1"/>
    <col min="2" max="2" width="11.5546875" style="140"/>
    <col min="3" max="3" width="16.88671875" style="140" customWidth="1"/>
    <col min="4" max="5" width="11.5546875" style="140"/>
    <col min="6" max="6" width="13.5546875" style="140" customWidth="1"/>
    <col min="7" max="7" width="12" style="140" bestFit="1" customWidth="1"/>
    <col min="8" max="8" width="15.5546875" style="140" customWidth="1"/>
    <col min="9" max="9" width="11.5546875" style="140"/>
    <col min="10" max="10" width="25.6640625" style="140" customWidth="1"/>
    <col min="11" max="11" width="31.77734375" style="140" customWidth="1"/>
    <col min="12" max="12" width="29.109375" style="140" customWidth="1"/>
    <col min="13" max="13" width="16.44140625" style="140" customWidth="1"/>
    <col min="14" max="14" width="11.5546875" style="140" customWidth="1"/>
    <col min="15" max="15" width="10.33203125" style="140" customWidth="1"/>
    <col min="16" max="16384" width="11.5546875" style="140"/>
  </cols>
  <sheetData>
    <row r="1" spans="1:42" ht="18" x14ac:dyDescent="0.35">
      <c r="A1" s="135" t="s">
        <v>54</v>
      </c>
      <c r="B1" s="136"/>
      <c r="C1" s="136"/>
      <c r="D1" s="136"/>
      <c r="E1" s="136"/>
      <c r="F1" s="136"/>
      <c r="G1" s="136"/>
      <c r="H1" s="136"/>
      <c r="I1" s="137"/>
      <c r="J1" s="138"/>
      <c r="K1" s="138"/>
      <c r="L1" s="138"/>
      <c r="M1" s="138"/>
      <c r="N1" s="138"/>
      <c r="O1" s="138"/>
      <c r="P1" s="138"/>
      <c r="Q1" s="139"/>
      <c r="R1" s="139"/>
      <c r="S1" s="139"/>
      <c r="T1" s="139"/>
      <c r="U1" s="139"/>
      <c r="V1" s="139"/>
      <c r="W1" s="139"/>
      <c r="X1" s="139"/>
      <c r="Y1" s="139"/>
      <c r="Z1" s="139"/>
      <c r="AA1" s="139"/>
      <c r="AB1" s="139"/>
      <c r="AC1" s="139"/>
      <c r="AD1" s="139"/>
      <c r="AE1" s="139"/>
      <c r="AF1" s="139"/>
      <c r="AG1" s="139"/>
      <c r="AH1" s="139"/>
      <c r="AI1" s="139"/>
      <c r="AJ1" s="139"/>
      <c r="AK1" s="139"/>
      <c r="AL1" s="139"/>
      <c r="AM1" s="139"/>
      <c r="AN1" s="139"/>
      <c r="AO1" s="139"/>
      <c r="AP1" s="139"/>
    </row>
    <row r="2" spans="1:42" x14ac:dyDescent="0.3">
      <c r="A2" s="141"/>
      <c r="B2" s="141"/>
      <c r="C2" s="261"/>
      <c r="D2" s="261"/>
      <c r="E2" s="261"/>
      <c r="F2" s="261"/>
      <c r="G2" s="261"/>
      <c r="H2" s="141"/>
      <c r="I2" s="137"/>
      <c r="J2" s="138"/>
      <c r="K2" s="138"/>
      <c r="L2" s="138"/>
      <c r="M2" s="138"/>
      <c r="N2" s="138"/>
      <c r="O2" s="138"/>
      <c r="P2" s="138"/>
      <c r="Q2" s="139"/>
      <c r="R2" s="139"/>
      <c r="S2" s="139"/>
      <c r="T2" s="139"/>
      <c r="U2" s="139"/>
      <c r="V2" s="139"/>
      <c r="W2" s="139"/>
      <c r="X2" s="139"/>
      <c r="Y2" s="139"/>
      <c r="Z2" s="139"/>
      <c r="AA2" s="139"/>
      <c r="AB2" s="139"/>
      <c r="AC2" s="139"/>
      <c r="AD2" s="139"/>
      <c r="AE2" s="139"/>
      <c r="AF2" s="139"/>
      <c r="AG2" s="139"/>
      <c r="AH2" s="139"/>
      <c r="AI2" s="139"/>
      <c r="AJ2" s="139"/>
      <c r="AK2" s="139"/>
      <c r="AL2" s="139"/>
      <c r="AM2" s="139"/>
      <c r="AN2" s="139"/>
      <c r="AO2" s="139"/>
      <c r="AP2" s="139"/>
    </row>
    <row r="3" spans="1:42" x14ac:dyDescent="0.3">
      <c r="A3" s="141"/>
      <c r="B3" s="141"/>
      <c r="C3" s="141" t="s">
        <v>0</v>
      </c>
      <c r="D3" s="142" t="s">
        <v>1</v>
      </c>
      <c r="E3" s="141" t="s">
        <v>2</v>
      </c>
      <c r="F3" s="141" t="s">
        <v>21</v>
      </c>
      <c r="G3" s="141" t="s">
        <v>3</v>
      </c>
      <c r="H3" s="141" t="s">
        <v>4</v>
      </c>
      <c r="I3" s="141" t="s">
        <v>140</v>
      </c>
      <c r="J3" s="138"/>
      <c r="K3" s="138"/>
      <c r="L3" s="138"/>
      <c r="M3" s="138"/>
      <c r="N3" s="138"/>
      <c r="O3" s="138"/>
      <c r="P3" s="138"/>
      <c r="Q3" s="139"/>
      <c r="R3" s="139"/>
      <c r="S3" s="139"/>
      <c r="T3" s="139"/>
      <c r="U3" s="139"/>
      <c r="V3" s="139"/>
      <c r="W3" s="139"/>
      <c r="X3" s="139"/>
      <c r="Y3" s="139"/>
      <c r="Z3" s="139"/>
      <c r="AA3" s="139"/>
      <c r="AB3" s="139"/>
      <c r="AC3" s="139"/>
      <c r="AD3" s="139"/>
      <c r="AE3" s="139"/>
      <c r="AF3" s="139"/>
      <c r="AG3" s="139"/>
      <c r="AH3" s="139"/>
      <c r="AI3" s="139"/>
      <c r="AJ3" s="139"/>
      <c r="AK3" s="139"/>
      <c r="AL3" s="139"/>
      <c r="AM3" s="139"/>
      <c r="AN3" s="139"/>
      <c r="AO3" s="139"/>
      <c r="AP3" s="139"/>
    </row>
    <row r="4" spans="1:42" x14ac:dyDescent="0.3">
      <c r="A4" s="269" t="s">
        <v>141</v>
      </c>
      <c r="B4" s="269"/>
      <c r="C4" s="141">
        <f>EINGABEN!$D$46</f>
        <v>10</v>
      </c>
      <c r="D4" s="141">
        <f>SUM(D6:D45)</f>
        <v>78.5</v>
      </c>
      <c r="E4" s="141">
        <f>SUM(E6:E45)</f>
        <v>822.75</v>
      </c>
      <c r="F4" s="143" t="s">
        <v>22</v>
      </c>
      <c r="G4" s="141">
        <f>SUM(G6:G45)</f>
        <v>9876.125</v>
      </c>
      <c r="H4" s="141">
        <f>SUM(H6:H45)</f>
        <v>822.75</v>
      </c>
      <c r="I4" s="141">
        <f>SUM(I6:I45)</f>
        <v>126984.1875</v>
      </c>
      <c r="J4" s="138"/>
      <c r="K4" s="138"/>
      <c r="L4" s="138"/>
      <c r="M4" s="138"/>
      <c r="N4" s="138"/>
      <c r="O4" s="138"/>
      <c r="P4" s="138"/>
      <c r="Q4" s="139"/>
      <c r="R4" s="139"/>
      <c r="S4" s="139"/>
      <c r="T4" s="139"/>
      <c r="U4" s="139"/>
      <c r="V4" s="139"/>
      <c r="W4" s="139"/>
      <c r="X4" s="139"/>
      <c r="Y4" s="139"/>
      <c r="Z4" s="139"/>
      <c r="AA4" s="139"/>
      <c r="AB4" s="139"/>
      <c r="AC4" s="139"/>
      <c r="AD4" s="139"/>
      <c r="AE4" s="139"/>
      <c r="AF4" s="139"/>
      <c r="AG4" s="139"/>
      <c r="AH4" s="139"/>
      <c r="AI4" s="139"/>
      <c r="AJ4" s="139"/>
      <c r="AK4" s="139"/>
      <c r="AL4" s="139"/>
      <c r="AM4" s="139"/>
      <c r="AN4" s="139"/>
      <c r="AO4" s="139"/>
      <c r="AP4" s="139"/>
    </row>
    <row r="5" spans="1:42" x14ac:dyDescent="0.3">
      <c r="A5" s="141" t="s">
        <v>8</v>
      </c>
      <c r="B5" s="141" t="s">
        <v>9</v>
      </c>
      <c r="C5" s="141" t="s">
        <v>35</v>
      </c>
      <c r="D5" s="141" t="s">
        <v>5</v>
      </c>
      <c r="E5" s="141" t="s">
        <v>6</v>
      </c>
      <c r="F5" s="141" t="s">
        <v>23</v>
      </c>
      <c r="G5" s="141" t="s">
        <v>10</v>
      </c>
      <c r="H5" s="141" t="s">
        <v>7</v>
      </c>
      <c r="I5" s="142" t="s">
        <v>18</v>
      </c>
      <c r="J5" s="139" t="s">
        <v>114</v>
      </c>
      <c r="K5" s="262" t="s">
        <v>112</v>
      </c>
      <c r="L5" s="144" t="s">
        <v>113</v>
      </c>
      <c r="M5" s="144" t="s">
        <v>115</v>
      </c>
      <c r="N5" s="138"/>
      <c r="O5" s="138"/>
      <c r="P5" s="138"/>
      <c r="Q5" s="139"/>
      <c r="R5" s="139"/>
      <c r="S5" s="139"/>
      <c r="T5" s="139"/>
      <c r="U5" s="139"/>
      <c r="V5" s="139"/>
      <c r="W5" s="139"/>
      <c r="X5" s="139"/>
      <c r="Y5" s="139"/>
      <c r="Z5" s="139"/>
      <c r="AA5" s="139"/>
      <c r="AB5" s="139"/>
      <c r="AC5" s="139"/>
      <c r="AD5" s="139"/>
      <c r="AE5" s="139"/>
      <c r="AF5" s="139"/>
      <c r="AG5" s="139"/>
      <c r="AH5" s="139"/>
      <c r="AI5" s="139"/>
      <c r="AJ5" s="139"/>
      <c r="AK5" s="139"/>
      <c r="AL5" s="139"/>
      <c r="AM5" s="139"/>
      <c r="AN5" s="139"/>
      <c r="AO5" s="139"/>
      <c r="AP5" s="139"/>
    </row>
    <row r="6" spans="1:42" x14ac:dyDescent="0.3">
      <c r="A6" s="141">
        <f>EINGABEN!C6</f>
        <v>8</v>
      </c>
      <c r="B6" s="141">
        <f>EINGABEN!D6</f>
        <v>64</v>
      </c>
      <c r="C6" s="141"/>
      <c r="D6" s="141">
        <f>EINGABEN!C6</f>
        <v>8</v>
      </c>
      <c r="E6" s="141">
        <f>(B6)</f>
        <v>64</v>
      </c>
      <c r="F6" s="143">
        <f>(C52+C54*D6)</f>
        <v>84.757171999999997</v>
      </c>
      <c r="G6" s="141">
        <f t="shared" ref="G6:G45" si="0">(D6*E6)</f>
        <v>512</v>
      </c>
      <c r="H6" s="141">
        <f t="shared" ref="H6:H45" si="1">(D6)^2</f>
        <v>64</v>
      </c>
      <c r="I6" s="141">
        <f t="shared" ref="I6:I45" si="2">(E6)^2</f>
        <v>4096</v>
      </c>
      <c r="J6" s="139">
        <f>IF(EINGABEN!C6="","",EINGABEN!C6)</f>
        <v>8</v>
      </c>
      <c r="K6" s="143">
        <f t="shared" ref="K6:K44" si="3">IF(B6=0,"",B6)</f>
        <v>64</v>
      </c>
      <c r="L6" s="138">
        <f>IF(J6="","",($C$52+$C$54*(J6+0.00001)))</f>
        <v>84.757337478149992</v>
      </c>
      <c r="M6" s="138">
        <f>IF(K6="","",(K6-L6)^2)</f>
        <v>430.8670591818103</v>
      </c>
      <c r="N6" s="138"/>
      <c r="O6" s="138"/>
      <c r="P6" s="138"/>
      <c r="Q6" s="139"/>
      <c r="R6" s="139"/>
      <c r="S6" s="139"/>
      <c r="T6" s="139"/>
      <c r="U6" s="139"/>
      <c r="V6" s="139"/>
      <c r="W6" s="139"/>
      <c r="X6" s="139"/>
      <c r="Y6" s="139"/>
      <c r="Z6" s="139"/>
      <c r="AA6" s="139"/>
      <c r="AB6" s="139"/>
      <c r="AC6" s="139"/>
      <c r="AD6" s="139"/>
      <c r="AE6" s="139"/>
      <c r="AF6" s="139"/>
      <c r="AG6" s="139"/>
      <c r="AH6" s="139"/>
      <c r="AI6" s="139"/>
      <c r="AJ6" s="139"/>
      <c r="AK6" s="139"/>
      <c r="AL6" s="139"/>
      <c r="AM6" s="139"/>
      <c r="AN6" s="139"/>
      <c r="AO6" s="139"/>
      <c r="AP6" s="139"/>
    </row>
    <row r="7" spans="1:42" x14ac:dyDescent="0.3">
      <c r="A7" s="141">
        <f>EINGABEN!C7</f>
        <v>7</v>
      </c>
      <c r="B7" s="141">
        <f>EINGABEN!D7</f>
        <v>49</v>
      </c>
      <c r="C7" s="141"/>
      <c r="D7" s="141">
        <f>EINGABEN!C7</f>
        <v>7</v>
      </c>
      <c r="E7" s="141">
        <f t="shared" ref="E7:E45" si="4">(B7)</f>
        <v>49</v>
      </c>
      <c r="F7" s="143">
        <f>(C52+C54*D7)</f>
        <v>68.209356999999997</v>
      </c>
      <c r="G7" s="141">
        <f t="shared" si="0"/>
        <v>343</v>
      </c>
      <c r="H7" s="141">
        <f t="shared" si="1"/>
        <v>49</v>
      </c>
      <c r="I7" s="141">
        <f t="shared" si="2"/>
        <v>2401</v>
      </c>
      <c r="J7" s="139">
        <f>IF(EINGABEN!C7="","",EINGABEN!C7)</f>
        <v>7</v>
      </c>
      <c r="K7" s="143">
        <f t="shared" si="3"/>
        <v>49</v>
      </c>
      <c r="L7" s="138">
        <f t="shared" ref="L7:L45" si="5">IF(J7="","",($C$52+$C$54*(J7+0.00001)))</f>
        <v>68.209522478149992</v>
      </c>
      <c r="M7" s="138">
        <f t="shared" ref="M7:M45" si="6">IF(K7="","",(K7-L7)^2)</f>
        <v>369.00575383854982</v>
      </c>
      <c r="N7" s="138"/>
      <c r="O7" s="138"/>
      <c r="P7" s="138"/>
      <c r="Q7" s="139"/>
      <c r="R7" s="139"/>
      <c r="S7" s="139"/>
      <c r="T7" s="139"/>
      <c r="U7" s="139"/>
      <c r="V7" s="139"/>
      <c r="W7" s="139"/>
      <c r="X7" s="139"/>
      <c r="Y7" s="139"/>
      <c r="Z7" s="139"/>
      <c r="AA7" s="139"/>
      <c r="AB7" s="139"/>
      <c r="AC7" s="139"/>
      <c r="AD7" s="139"/>
      <c r="AE7" s="139"/>
      <c r="AF7" s="139"/>
      <c r="AG7" s="139"/>
      <c r="AH7" s="139"/>
      <c r="AI7" s="139"/>
      <c r="AJ7" s="139"/>
      <c r="AK7" s="139"/>
      <c r="AL7" s="139"/>
      <c r="AM7" s="139"/>
      <c r="AN7" s="139"/>
      <c r="AO7" s="139"/>
      <c r="AP7" s="139"/>
    </row>
    <row r="8" spans="1:42" x14ac:dyDescent="0.3">
      <c r="A8" s="141">
        <f>EINGABEN!C8</f>
        <v>4</v>
      </c>
      <c r="B8" s="141">
        <f>EINGABEN!D8</f>
        <v>16</v>
      </c>
      <c r="C8" s="141"/>
      <c r="D8" s="141">
        <f>EINGABEN!C8</f>
        <v>4</v>
      </c>
      <c r="E8" s="141">
        <f t="shared" si="4"/>
        <v>16</v>
      </c>
      <c r="F8" s="143">
        <f>(C52+C54*D8)</f>
        <v>18.565911999999997</v>
      </c>
      <c r="G8" s="141">
        <f t="shared" si="0"/>
        <v>64</v>
      </c>
      <c r="H8" s="141">
        <f t="shared" si="1"/>
        <v>16</v>
      </c>
      <c r="I8" s="141">
        <f t="shared" si="2"/>
        <v>256</v>
      </c>
      <c r="J8" s="139">
        <f>IF(EINGABEN!C8="","",EINGABEN!C8)</f>
        <v>4</v>
      </c>
      <c r="K8" s="143">
        <f t="shared" si="3"/>
        <v>16</v>
      </c>
      <c r="L8" s="138">
        <f t="shared" si="5"/>
        <v>18.566077478149992</v>
      </c>
      <c r="M8" s="138">
        <f t="shared" si="6"/>
        <v>6.5847536238686253</v>
      </c>
      <c r="N8" s="138"/>
      <c r="O8" s="138"/>
      <c r="P8" s="138"/>
      <c r="Q8" s="139"/>
      <c r="R8" s="139"/>
      <c r="S8" s="139"/>
      <c r="T8" s="139"/>
      <c r="U8" s="139"/>
      <c r="V8" s="139"/>
      <c r="W8" s="139"/>
      <c r="X8" s="139"/>
      <c r="Y8" s="139"/>
      <c r="Z8" s="139"/>
      <c r="AA8" s="139"/>
      <c r="AB8" s="139"/>
      <c r="AC8" s="139"/>
      <c r="AD8" s="139"/>
      <c r="AE8" s="139"/>
      <c r="AF8" s="139"/>
      <c r="AG8" s="139"/>
      <c r="AH8" s="139"/>
      <c r="AI8" s="139"/>
      <c r="AJ8" s="139"/>
      <c r="AK8" s="139"/>
      <c r="AL8" s="139"/>
      <c r="AM8" s="139"/>
      <c r="AN8" s="139"/>
      <c r="AO8" s="139"/>
      <c r="AP8" s="139"/>
    </row>
    <row r="9" spans="1:42" x14ac:dyDescent="0.3">
      <c r="A9" s="141">
        <f>EINGABEN!C9</f>
        <v>2.5</v>
      </c>
      <c r="B9" s="141">
        <f>EINGABEN!D9</f>
        <v>6.25</v>
      </c>
      <c r="C9" s="141"/>
      <c r="D9" s="141">
        <f>EINGABEN!C9</f>
        <v>2.5</v>
      </c>
      <c r="E9" s="141">
        <f t="shared" si="4"/>
        <v>6.25</v>
      </c>
      <c r="F9" s="143">
        <f>(C52+C54*D9)</f>
        <v>-6.2558105000000026</v>
      </c>
      <c r="G9" s="141">
        <f t="shared" si="0"/>
        <v>15.625</v>
      </c>
      <c r="H9" s="141">
        <f t="shared" si="1"/>
        <v>6.25</v>
      </c>
      <c r="I9" s="141">
        <f t="shared" si="2"/>
        <v>39.0625</v>
      </c>
      <c r="J9" s="139">
        <f>IF(EINGABEN!C9="","",EINGABEN!C9)</f>
        <v>2.5</v>
      </c>
      <c r="K9" s="143">
        <f t="shared" si="3"/>
        <v>6.25</v>
      </c>
      <c r="L9" s="138">
        <f t="shared" si="5"/>
        <v>-6.2556450218500004</v>
      </c>
      <c r="M9" s="138">
        <f t="shared" si="6"/>
        <v>156.39115741252169</v>
      </c>
      <c r="N9" s="138"/>
      <c r="O9" s="138"/>
      <c r="P9" s="138"/>
      <c r="Q9" s="139"/>
      <c r="R9" s="139"/>
      <c r="S9" s="139"/>
      <c r="T9" s="139"/>
      <c r="U9" s="139"/>
      <c r="V9" s="139"/>
      <c r="W9" s="139"/>
      <c r="X9" s="139"/>
      <c r="Y9" s="139"/>
      <c r="Z9" s="139"/>
      <c r="AA9" s="139"/>
      <c r="AB9" s="139"/>
      <c r="AC9" s="139"/>
      <c r="AD9" s="139"/>
      <c r="AE9" s="139"/>
      <c r="AF9" s="139"/>
      <c r="AG9" s="139"/>
      <c r="AH9" s="139"/>
      <c r="AI9" s="139"/>
      <c r="AJ9" s="139"/>
      <c r="AK9" s="139"/>
      <c r="AL9" s="139"/>
      <c r="AM9" s="139"/>
      <c r="AN9" s="139"/>
      <c r="AO9" s="139"/>
      <c r="AP9" s="139"/>
    </row>
    <row r="10" spans="1:42" x14ac:dyDescent="0.3">
      <c r="A10" s="141">
        <f>EINGABEN!C10</f>
        <v>4.5</v>
      </c>
      <c r="B10" s="141">
        <f>EINGABEN!D10</f>
        <v>20.25</v>
      </c>
      <c r="C10" s="141"/>
      <c r="D10" s="141">
        <f>EINGABEN!C10</f>
        <v>4.5</v>
      </c>
      <c r="E10" s="141">
        <f t="shared" si="4"/>
        <v>20.25</v>
      </c>
      <c r="F10" s="143">
        <f>(C52+C54*D10)</f>
        <v>26.839819500000004</v>
      </c>
      <c r="G10" s="141">
        <f t="shared" si="0"/>
        <v>91.125</v>
      </c>
      <c r="H10" s="141">
        <f t="shared" si="1"/>
        <v>20.25</v>
      </c>
      <c r="I10" s="141">
        <f t="shared" si="2"/>
        <v>410.0625</v>
      </c>
      <c r="J10" s="139">
        <f>IF(EINGABEN!C10="","",EINGABEN!C10)</f>
        <v>4.5</v>
      </c>
      <c r="K10" s="143">
        <f t="shared" si="3"/>
        <v>20.25</v>
      </c>
      <c r="L10" s="138">
        <f t="shared" si="5"/>
        <v>26.839984978149985</v>
      </c>
      <c r="M10" s="138">
        <f t="shared" si="6"/>
        <v>43.427902012242463</v>
      </c>
      <c r="N10" s="138"/>
      <c r="O10" s="138"/>
      <c r="P10" s="138"/>
      <c r="Q10" s="139"/>
      <c r="R10" s="139"/>
      <c r="S10" s="139"/>
      <c r="T10" s="139"/>
      <c r="U10" s="139"/>
      <c r="V10" s="139"/>
      <c r="W10" s="139"/>
      <c r="X10" s="139"/>
      <c r="Y10" s="139"/>
      <c r="Z10" s="139"/>
      <c r="AA10" s="139"/>
      <c r="AB10" s="139"/>
      <c r="AC10" s="139"/>
      <c r="AD10" s="139"/>
      <c r="AE10" s="139"/>
      <c r="AF10" s="139"/>
      <c r="AG10" s="139"/>
      <c r="AH10" s="139"/>
      <c r="AI10" s="139"/>
      <c r="AJ10" s="139"/>
      <c r="AK10" s="139"/>
      <c r="AL10" s="139"/>
      <c r="AM10" s="139"/>
      <c r="AN10" s="139"/>
      <c r="AO10" s="139"/>
      <c r="AP10" s="139"/>
    </row>
    <row r="11" spans="1:42" x14ac:dyDescent="0.3">
      <c r="A11" s="141">
        <f>EINGABEN!C11</f>
        <v>10</v>
      </c>
      <c r="B11" s="141">
        <f>EINGABEN!D11</f>
        <v>100</v>
      </c>
      <c r="C11" s="141"/>
      <c r="D11" s="141">
        <f>EINGABEN!C11</f>
        <v>10</v>
      </c>
      <c r="E11" s="141">
        <f t="shared" si="4"/>
        <v>100</v>
      </c>
      <c r="F11" s="143">
        <f>(C52+C54*D11)</f>
        <v>117.852802</v>
      </c>
      <c r="G11" s="141">
        <f t="shared" si="0"/>
        <v>1000</v>
      </c>
      <c r="H11" s="141">
        <f t="shared" si="1"/>
        <v>100</v>
      </c>
      <c r="I11" s="141">
        <f t="shared" si="2"/>
        <v>10000</v>
      </c>
      <c r="J11" s="139">
        <f>IF(EINGABEN!C11="","",EINGABEN!C11)</f>
        <v>10</v>
      </c>
      <c r="K11" s="143">
        <f t="shared" si="3"/>
        <v>100</v>
      </c>
      <c r="L11" s="138">
        <f t="shared" si="5"/>
        <v>117.85296747814999</v>
      </c>
      <c r="M11" s="138">
        <f t="shared" si="6"/>
        <v>318.72844777588131</v>
      </c>
      <c r="N11" s="138"/>
      <c r="O11" s="138"/>
      <c r="P11" s="138"/>
      <c r="Q11" s="139"/>
      <c r="R11" s="139"/>
      <c r="S11" s="139"/>
      <c r="T11" s="139"/>
      <c r="U11" s="139"/>
      <c r="V11" s="139"/>
      <c r="W11" s="139"/>
      <c r="X11" s="139"/>
      <c r="Y11" s="139"/>
      <c r="Z11" s="139"/>
      <c r="AA11" s="139"/>
      <c r="AB11" s="139"/>
      <c r="AC11" s="139"/>
      <c r="AD11" s="139"/>
      <c r="AE11" s="139"/>
      <c r="AF11" s="139"/>
      <c r="AG11" s="139"/>
      <c r="AH11" s="139"/>
      <c r="AI11" s="139"/>
      <c r="AJ11" s="139"/>
      <c r="AK11" s="139"/>
      <c r="AL11" s="139"/>
      <c r="AM11" s="139"/>
      <c r="AN11" s="139"/>
      <c r="AO11" s="139"/>
      <c r="AP11" s="139"/>
    </row>
    <row r="12" spans="1:42" x14ac:dyDescent="0.3">
      <c r="A12" s="141">
        <f>EINGABEN!C12</f>
        <v>12</v>
      </c>
      <c r="B12" s="141">
        <f>EINGABEN!D12</f>
        <v>144</v>
      </c>
      <c r="C12" s="141"/>
      <c r="D12" s="141">
        <f>EINGABEN!C12</f>
        <v>12</v>
      </c>
      <c r="E12" s="141">
        <f t="shared" si="4"/>
        <v>144</v>
      </c>
      <c r="F12" s="143">
        <f>(C52+C54*D12)</f>
        <v>150.948432</v>
      </c>
      <c r="G12" s="141">
        <f t="shared" si="0"/>
        <v>1728</v>
      </c>
      <c r="H12" s="141">
        <f t="shared" si="1"/>
        <v>144</v>
      </c>
      <c r="I12" s="141">
        <f t="shared" si="2"/>
        <v>20736</v>
      </c>
      <c r="J12" s="139">
        <f>IF(EINGABEN!C12="","",EINGABEN!C12)</f>
        <v>12</v>
      </c>
      <c r="K12" s="143">
        <f t="shared" si="3"/>
        <v>144</v>
      </c>
      <c r="L12" s="138">
        <f t="shared" si="5"/>
        <v>150.94859747814999</v>
      </c>
      <c r="M12" s="138">
        <f t="shared" si="6"/>
        <v>48.28300691335243</v>
      </c>
      <c r="N12" s="138"/>
      <c r="O12" s="138"/>
      <c r="P12" s="138"/>
      <c r="Q12" s="139"/>
      <c r="R12" s="139"/>
      <c r="S12" s="139"/>
      <c r="T12" s="139"/>
      <c r="U12" s="139"/>
      <c r="V12" s="139"/>
      <c r="W12" s="139"/>
      <c r="X12" s="139"/>
      <c r="Y12" s="139"/>
      <c r="Z12" s="139"/>
      <c r="AA12" s="139"/>
      <c r="AB12" s="139"/>
      <c r="AC12" s="139"/>
      <c r="AD12" s="139"/>
      <c r="AE12" s="139"/>
      <c r="AF12" s="139"/>
      <c r="AG12" s="139"/>
      <c r="AH12" s="139"/>
      <c r="AI12" s="139"/>
      <c r="AJ12" s="139"/>
      <c r="AK12" s="139"/>
      <c r="AL12" s="139"/>
      <c r="AM12" s="139"/>
      <c r="AN12" s="139"/>
      <c r="AO12" s="139"/>
      <c r="AP12" s="139"/>
    </row>
    <row r="13" spans="1:42" x14ac:dyDescent="0.3">
      <c r="A13" s="141">
        <f>EINGABEN!C13</f>
        <v>15</v>
      </c>
      <c r="B13" s="141">
        <f>EINGABEN!D13</f>
        <v>225</v>
      </c>
      <c r="C13" s="141"/>
      <c r="D13" s="141">
        <f>EINGABEN!C13</f>
        <v>15</v>
      </c>
      <c r="E13" s="141">
        <f t="shared" si="4"/>
        <v>225</v>
      </c>
      <c r="F13" s="143">
        <f>(C52+C54*D13)</f>
        <v>200.59187699999998</v>
      </c>
      <c r="G13" s="141">
        <f t="shared" si="0"/>
        <v>3375</v>
      </c>
      <c r="H13" s="141">
        <f t="shared" si="1"/>
        <v>225</v>
      </c>
      <c r="I13" s="141">
        <f t="shared" si="2"/>
        <v>50625</v>
      </c>
      <c r="J13" s="139">
        <f>IF(EINGABEN!C13="","",EINGABEN!C13)</f>
        <v>15</v>
      </c>
      <c r="K13" s="143">
        <f t="shared" si="3"/>
        <v>225</v>
      </c>
      <c r="L13" s="138">
        <f t="shared" si="5"/>
        <v>200.59204247814998</v>
      </c>
      <c r="M13" s="138">
        <f t="shared" si="6"/>
        <v>595.74839038843504</v>
      </c>
      <c r="N13" s="138"/>
      <c r="O13" s="138"/>
      <c r="P13" s="138"/>
      <c r="Q13" s="139"/>
      <c r="R13" s="139"/>
      <c r="S13" s="139"/>
      <c r="T13" s="139"/>
      <c r="U13" s="139"/>
      <c r="V13" s="139"/>
      <c r="W13" s="139"/>
      <c r="X13" s="139"/>
      <c r="Y13" s="139"/>
      <c r="Z13" s="139"/>
      <c r="AA13" s="139"/>
      <c r="AB13" s="139"/>
      <c r="AC13" s="139"/>
      <c r="AD13" s="139"/>
      <c r="AE13" s="139"/>
      <c r="AF13" s="139"/>
      <c r="AG13" s="139"/>
      <c r="AH13" s="139"/>
      <c r="AI13" s="139"/>
      <c r="AJ13" s="139"/>
      <c r="AK13" s="139"/>
      <c r="AL13" s="139"/>
      <c r="AM13" s="139"/>
      <c r="AN13" s="139"/>
      <c r="AO13" s="139"/>
      <c r="AP13" s="139"/>
    </row>
    <row r="14" spans="1:42" x14ac:dyDescent="0.3">
      <c r="A14" s="141">
        <f>EINGABEN!C14</f>
        <v>1.5</v>
      </c>
      <c r="B14" s="141">
        <f>EINGABEN!D14</f>
        <v>2.25</v>
      </c>
      <c r="C14" s="141"/>
      <c r="D14" s="141">
        <f>EINGABEN!C14</f>
        <v>1.5</v>
      </c>
      <c r="E14" s="141">
        <f t="shared" si="4"/>
        <v>2.25</v>
      </c>
      <c r="F14" s="143">
        <f>(C52+C54*D14)</f>
        <v>-22.803625500000003</v>
      </c>
      <c r="G14" s="141">
        <f t="shared" si="0"/>
        <v>3.375</v>
      </c>
      <c r="H14" s="141">
        <f>(D14)^2</f>
        <v>2.25</v>
      </c>
      <c r="I14" s="141">
        <f t="shared" si="2"/>
        <v>5.0625</v>
      </c>
      <c r="J14" s="139">
        <f>IF(EINGABEN!C14="","",EINGABEN!C14)</f>
        <v>1.5</v>
      </c>
      <c r="K14" s="143">
        <f t="shared" si="3"/>
        <v>2.25</v>
      </c>
      <c r="L14" s="138">
        <f t="shared" si="5"/>
        <v>-22.80346002185</v>
      </c>
      <c r="M14" s="138">
        <f t="shared" si="6"/>
        <v>627.67585906643626</v>
      </c>
      <c r="N14" s="138"/>
      <c r="O14" s="138"/>
      <c r="P14" s="138"/>
      <c r="Q14" s="139"/>
      <c r="R14" s="139"/>
      <c r="S14" s="139"/>
      <c r="T14" s="139"/>
      <c r="U14" s="139"/>
      <c r="V14" s="139"/>
      <c r="W14" s="139"/>
      <c r="X14" s="139"/>
      <c r="Y14" s="139"/>
      <c r="Z14" s="139"/>
      <c r="AA14" s="139"/>
      <c r="AB14" s="139"/>
      <c r="AC14" s="139"/>
      <c r="AD14" s="139"/>
      <c r="AE14" s="139"/>
      <c r="AF14" s="139"/>
      <c r="AG14" s="139"/>
      <c r="AH14" s="139"/>
      <c r="AI14" s="139"/>
      <c r="AJ14" s="139"/>
      <c r="AK14" s="139"/>
      <c r="AL14" s="139"/>
      <c r="AM14" s="139"/>
      <c r="AN14" s="139"/>
      <c r="AO14" s="139"/>
      <c r="AP14" s="139"/>
    </row>
    <row r="15" spans="1:42" ht="15" thickBot="1" x14ac:dyDescent="0.35">
      <c r="A15" s="145">
        <f>EINGABEN!C15</f>
        <v>14</v>
      </c>
      <c r="B15" s="145">
        <f>EINGABEN!D15</f>
        <v>196</v>
      </c>
      <c r="C15" s="145"/>
      <c r="D15" s="145">
        <f>EINGABEN!C15</f>
        <v>14</v>
      </c>
      <c r="E15" s="145">
        <f t="shared" si="4"/>
        <v>196</v>
      </c>
      <c r="F15" s="146">
        <f>(C52+C54*D15)</f>
        <v>184.044062</v>
      </c>
      <c r="G15" s="141">
        <f t="shared" si="0"/>
        <v>2744</v>
      </c>
      <c r="H15" s="141">
        <f t="shared" si="1"/>
        <v>196</v>
      </c>
      <c r="I15" s="141">
        <f t="shared" si="2"/>
        <v>38416</v>
      </c>
      <c r="J15" s="139">
        <f>IF(EINGABEN!C15="","",EINGABEN!C15)</f>
        <v>14</v>
      </c>
      <c r="K15" s="143">
        <f t="shared" si="3"/>
        <v>196</v>
      </c>
      <c r="L15" s="138">
        <f t="shared" si="5"/>
        <v>184.04422747814999</v>
      </c>
      <c r="M15" s="138">
        <f t="shared" si="6"/>
        <v>142.9404965942237</v>
      </c>
      <c r="N15" s="138"/>
      <c r="O15" s="138"/>
      <c r="P15" s="138"/>
      <c r="Q15" s="139"/>
      <c r="R15" s="139"/>
      <c r="S15" s="139"/>
      <c r="T15" s="139"/>
      <c r="U15" s="139"/>
      <c r="V15" s="139"/>
      <c r="W15" s="139"/>
      <c r="X15" s="139"/>
      <c r="Y15" s="139"/>
      <c r="Z15" s="139"/>
      <c r="AA15" s="139"/>
      <c r="AB15" s="139"/>
      <c r="AC15" s="139"/>
      <c r="AD15" s="139"/>
      <c r="AE15" s="139"/>
      <c r="AF15" s="139"/>
      <c r="AG15" s="139"/>
      <c r="AH15" s="139"/>
      <c r="AI15" s="139"/>
      <c r="AJ15" s="139"/>
      <c r="AK15" s="139"/>
      <c r="AL15" s="139"/>
      <c r="AM15" s="139"/>
      <c r="AN15" s="139"/>
      <c r="AO15" s="139"/>
      <c r="AP15" s="139"/>
    </row>
    <row r="16" spans="1:42" ht="15" thickTop="1" x14ac:dyDescent="0.3">
      <c r="A16" s="147">
        <f>EINGABEN!C16</f>
        <v>0</v>
      </c>
      <c r="B16" s="148">
        <f>EINGABEN!D16</f>
        <v>0</v>
      </c>
      <c r="C16" s="148"/>
      <c r="D16" s="148">
        <f>EINGABEN!C16</f>
        <v>0</v>
      </c>
      <c r="E16" s="148">
        <f t="shared" si="4"/>
        <v>0</v>
      </c>
      <c r="F16" s="149">
        <f>(C52+C54*D16)</f>
        <v>-47.625348000000002</v>
      </c>
      <c r="G16" s="141">
        <f t="shared" si="0"/>
        <v>0</v>
      </c>
      <c r="H16" s="141">
        <f t="shared" si="1"/>
        <v>0</v>
      </c>
      <c r="I16" s="141">
        <f t="shared" si="2"/>
        <v>0</v>
      </c>
      <c r="J16" s="139" t="str">
        <f>IF(EINGABEN!C16="","",EINGABEN!C16)</f>
        <v/>
      </c>
      <c r="K16" s="143" t="str">
        <f t="shared" si="3"/>
        <v/>
      </c>
      <c r="L16" s="138" t="str">
        <f t="shared" si="5"/>
        <v/>
      </c>
      <c r="M16" s="138" t="str">
        <f t="shared" si="6"/>
        <v/>
      </c>
      <c r="N16" s="61"/>
      <c r="O16" s="61"/>
      <c r="P16" s="61"/>
    </row>
    <row r="17" spans="1:16" x14ac:dyDescent="0.3">
      <c r="A17" s="150">
        <f>EINGABEN!C17</f>
        <v>0</v>
      </c>
      <c r="B17" s="106">
        <f>EINGABEN!D17</f>
        <v>0</v>
      </c>
      <c r="C17" s="106"/>
      <c r="D17" s="106">
        <f>EINGABEN!C17</f>
        <v>0</v>
      </c>
      <c r="E17" s="106">
        <f t="shared" si="4"/>
        <v>0</v>
      </c>
      <c r="F17" s="151">
        <f>(C52+C54*D17)</f>
        <v>-47.625348000000002</v>
      </c>
      <c r="G17" s="141">
        <f t="shared" si="0"/>
        <v>0</v>
      </c>
      <c r="H17" s="141">
        <f t="shared" si="1"/>
        <v>0</v>
      </c>
      <c r="I17" s="141">
        <f t="shared" si="2"/>
        <v>0</v>
      </c>
      <c r="J17" s="139" t="str">
        <f>IF(EINGABEN!C17="","",EINGABEN!C17)</f>
        <v/>
      </c>
      <c r="K17" s="143" t="str">
        <f t="shared" si="3"/>
        <v/>
      </c>
      <c r="L17" s="138" t="str">
        <f t="shared" si="5"/>
        <v/>
      </c>
      <c r="M17" s="138" t="str">
        <f t="shared" si="6"/>
        <v/>
      </c>
      <c r="N17" s="61"/>
      <c r="O17" s="61"/>
      <c r="P17" s="61"/>
    </row>
    <row r="18" spans="1:16" x14ac:dyDescent="0.3">
      <c r="A18" s="150">
        <f>EINGABEN!C18</f>
        <v>0</v>
      </c>
      <c r="B18" s="106">
        <f>EINGABEN!D18</f>
        <v>0</v>
      </c>
      <c r="C18" s="106"/>
      <c r="D18" s="106">
        <f>EINGABEN!C18</f>
        <v>0</v>
      </c>
      <c r="E18" s="106">
        <f t="shared" si="4"/>
        <v>0</v>
      </c>
      <c r="F18" s="151">
        <f>(C52+C54*D18)</f>
        <v>-47.625348000000002</v>
      </c>
      <c r="G18" s="141">
        <f t="shared" si="0"/>
        <v>0</v>
      </c>
      <c r="H18" s="141">
        <f t="shared" si="1"/>
        <v>0</v>
      </c>
      <c r="I18" s="141">
        <f t="shared" si="2"/>
        <v>0</v>
      </c>
      <c r="J18" s="139" t="str">
        <f>IF(EINGABEN!C18="","",EINGABEN!C18)</f>
        <v/>
      </c>
      <c r="K18" s="143" t="str">
        <f t="shared" si="3"/>
        <v/>
      </c>
      <c r="L18" s="144" t="str">
        <f t="shared" si="5"/>
        <v/>
      </c>
      <c r="M18" s="138" t="str">
        <f t="shared" si="6"/>
        <v/>
      </c>
      <c r="N18" s="61"/>
      <c r="O18" s="61"/>
      <c r="P18" s="61"/>
    </row>
    <row r="19" spans="1:16" x14ac:dyDescent="0.3">
      <c r="A19" s="150">
        <f>EINGABEN!C19</f>
        <v>0</v>
      </c>
      <c r="B19" s="106">
        <f>EINGABEN!D19</f>
        <v>0</v>
      </c>
      <c r="C19" s="106"/>
      <c r="D19" s="106">
        <f>EINGABEN!C19</f>
        <v>0</v>
      </c>
      <c r="E19" s="106">
        <f t="shared" si="4"/>
        <v>0</v>
      </c>
      <c r="F19" s="151">
        <f>(C52+C54*D19)</f>
        <v>-47.625348000000002</v>
      </c>
      <c r="G19" s="141">
        <f t="shared" si="0"/>
        <v>0</v>
      </c>
      <c r="H19" s="141">
        <f t="shared" si="1"/>
        <v>0</v>
      </c>
      <c r="I19" s="141">
        <f t="shared" si="2"/>
        <v>0</v>
      </c>
      <c r="J19" s="139" t="str">
        <f>IF(EINGABEN!C19="","",EINGABEN!C19)</f>
        <v/>
      </c>
      <c r="K19" s="143" t="str">
        <f t="shared" si="3"/>
        <v/>
      </c>
      <c r="L19" s="138" t="str">
        <f t="shared" si="5"/>
        <v/>
      </c>
      <c r="M19" s="144" t="str">
        <f t="shared" si="6"/>
        <v/>
      </c>
      <c r="N19" s="61"/>
      <c r="O19" s="61"/>
      <c r="P19" s="61"/>
    </row>
    <row r="20" spans="1:16" x14ac:dyDescent="0.3">
      <c r="A20" s="150">
        <f>EINGABEN!C20</f>
        <v>0</v>
      </c>
      <c r="B20" s="106">
        <f>EINGABEN!D20</f>
        <v>0</v>
      </c>
      <c r="C20" s="106"/>
      <c r="D20" s="106">
        <f>EINGABEN!C20</f>
        <v>0</v>
      </c>
      <c r="E20" s="106">
        <f t="shared" si="4"/>
        <v>0</v>
      </c>
      <c r="F20" s="151">
        <f>(C52+C54*D20)</f>
        <v>-47.625348000000002</v>
      </c>
      <c r="G20" s="141">
        <f t="shared" si="0"/>
        <v>0</v>
      </c>
      <c r="H20" s="141">
        <f t="shared" si="1"/>
        <v>0</v>
      </c>
      <c r="I20" s="141">
        <f t="shared" si="2"/>
        <v>0</v>
      </c>
      <c r="J20" s="139" t="str">
        <f>IF(EINGABEN!C20="","",EINGABEN!C20)</f>
        <v/>
      </c>
      <c r="K20" s="143" t="str">
        <f t="shared" si="3"/>
        <v/>
      </c>
      <c r="L20" s="138" t="str">
        <f t="shared" si="5"/>
        <v/>
      </c>
      <c r="M20" s="138" t="str">
        <f t="shared" si="6"/>
        <v/>
      </c>
      <c r="N20" s="61"/>
      <c r="O20" s="61"/>
      <c r="P20" s="106"/>
    </row>
    <row r="21" spans="1:16" x14ac:dyDescent="0.3">
      <c r="A21" s="150">
        <f>EINGABEN!C21</f>
        <v>0</v>
      </c>
      <c r="B21" s="106">
        <f>EINGABEN!D21</f>
        <v>0</v>
      </c>
      <c r="C21" s="106"/>
      <c r="D21" s="106">
        <f>EINGABEN!C21</f>
        <v>0</v>
      </c>
      <c r="E21" s="106">
        <f t="shared" si="4"/>
        <v>0</v>
      </c>
      <c r="F21" s="151">
        <f>(C52+C54*D21)</f>
        <v>-47.625348000000002</v>
      </c>
      <c r="G21" s="141">
        <f t="shared" si="0"/>
        <v>0</v>
      </c>
      <c r="H21" s="141">
        <f t="shared" si="1"/>
        <v>0</v>
      </c>
      <c r="I21" s="141">
        <f t="shared" si="2"/>
        <v>0</v>
      </c>
      <c r="J21" s="139" t="str">
        <f>IF(EINGABEN!C21="","",EINGABEN!C21)</f>
        <v/>
      </c>
      <c r="K21" s="143" t="str">
        <f t="shared" si="3"/>
        <v/>
      </c>
      <c r="L21" s="138" t="str">
        <f t="shared" si="5"/>
        <v/>
      </c>
      <c r="M21" s="138" t="str">
        <f t="shared" si="6"/>
        <v/>
      </c>
      <c r="N21" s="61"/>
      <c r="O21" s="61"/>
      <c r="P21" s="61"/>
    </row>
    <row r="22" spans="1:16" x14ac:dyDescent="0.3">
      <c r="A22" s="150">
        <f>EINGABEN!C22</f>
        <v>0</v>
      </c>
      <c r="B22" s="106">
        <f>EINGABEN!D22</f>
        <v>0</v>
      </c>
      <c r="C22" s="106"/>
      <c r="D22" s="106">
        <f>EINGABEN!C22</f>
        <v>0</v>
      </c>
      <c r="E22" s="106">
        <f t="shared" si="4"/>
        <v>0</v>
      </c>
      <c r="F22" s="151">
        <f>(C52+C54*D22)</f>
        <v>-47.625348000000002</v>
      </c>
      <c r="G22" s="141">
        <f t="shared" si="0"/>
        <v>0</v>
      </c>
      <c r="H22" s="141">
        <f t="shared" si="1"/>
        <v>0</v>
      </c>
      <c r="I22" s="141">
        <f t="shared" si="2"/>
        <v>0</v>
      </c>
      <c r="J22" s="139" t="str">
        <f>IF(EINGABEN!C22="","",EINGABEN!C22)</f>
        <v/>
      </c>
      <c r="K22" s="143" t="str">
        <f t="shared" si="3"/>
        <v/>
      </c>
      <c r="L22" s="138" t="str">
        <f t="shared" si="5"/>
        <v/>
      </c>
      <c r="M22" s="138" t="str">
        <f t="shared" si="6"/>
        <v/>
      </c>
      <c r="N22" s="61"/>
      <c r="O22" s="61"/>
      <c r="P22" s="61"/>
    </row>
    <row r="23" spans="1:16" x14ac:dyDescent="0.3">
      <c r="A23" s="150">
        <f>EINGABEN!C23</f>
        <v>0</v>
      </c>
      <c r="B23" s="106">
        <f>EINGABEN!D23</f>
        <v>0</v>
      </c>
      <c r="C23" s="106"/>
      <c r="D23" s="106">
        <f>EINGABEN!C23</f>
        <v>0</v>
      </c>
      <c r="E23" s="106">
        <f t="shared" si="4"/>
        <v>0</v>
      </c>
      <c r="F23" s="151">
        <f>(C52+C54*D23)</f>
        <v>-47.625348000000002</v>
      </c>
      <c r="G23" s="141">
        <f t="shared" si="0"/>
        <v>0</v>
      </c>
      <c r="H23" s="141">
        <f t="shared" si="1"/>
        <v>0</v>
      </c>
      <c r="I23" s="141">
        <f t="shared" si="2"/>
        <v>0</v>
      </c>
      <c r="J23" s="139" t="str">
        <f>IF(EINGABEN!C23="","",EINGABEN!C23)</f>
        <v/>
      </c>
      <c r="K23" s="143" t="str">
        <f t="shared" si="3"/>
        <v/>
      </c>
      <c r="L23" s="138" t="str">
        <f t="shared" si="5"/>
        <v/>
      </c>
      <c r="M23" s="138" t="str">
        <f t="shared" si="6"/>
        <v/>
      </c>
      <c r="N23" s="61"/>
      <c r="O23" s="61"/>
      <c r="P23" s="61"/>
    </row>
    <row r="24" spans="1:16" x14ac:dyDescent="0.3">
      <c r="A24" s="150">
        <f>EINGABEN!C24</f>
        <v>0</v>
      </c>
      <c r="B24" s="106">
        <f>EINGABEN!D24</f>
        <v>0</v>
      </c>
      <c r="C24" s="106"/>
      <c r="D24" s="106">
        <f>EINGABEN!C24</f>
        <v>0</v>
      </c>
      <c r="E24" s="106">
        <f t="shared" si="4"/>
        <v>0</v>
      </c>
      <c r="F24" s="151">
        <f>(C52+C54*D24)</f>
        <v>-47.625348000000002</v>
      </c>
      <c r="G24" s="141">
        <f t="shared" si="0"/>
        <v>0</v>
      </c>
      <c r="H24" s="141">
        <f t="shared" si="1"/>
        <v>0</v>
      </c>
      <c r="I24" s="141">
        <f t="shared" si="2"/>
        <v>0</v>
      </c>
      <c r="J24" s="139" t="str">
        <f>IF(EINGABEN!C24="","",EINGABEN!C24)</f>
        <v/>
      </c>
      <c r="K24" s="143" t="str">
        <f t="shared" si="3"/>
        <v/>
      </c>
      <c r="L24" s="138" t="str">
        <f t="shared" si="5"/>
        <v/>
      </c>
      <c r="M24" s="138" t="str">
        <f t="shared" si="6"/>
        <v/>
      </c>
      <c r="N24" s="61"/>
      <c r="O24" s="61"/>
      <c r="P24" s="61"/>
    </row>
    <row r="25" spans="1:16" x14ac:dyDescent="0.3">
      <c r="A25" s="150">
        <f>EINGABEN!C25</f>
        <v>0</v>
      </c>
      <c r="B25" s="106">
        <f>EINGABEN!D25</f>
        <v>0</v>
      </c>
      <c r="C25" s="106"/>
      <c r="D25" s="106">
        <f>EINGABEN!C25</f>
        <v>0</v>
      </c>
      <c r="E25" s="106">
        <f t="shared" si="4"/>
        <v>0</v>
      </c>
      <c r="F25" s="151">
        <f>(C52+C54*D25)</f>
        <v>-47.625348000000002</v>
      </c>
      <c r="G25" s="141">
        <f t="shared" si="0"/>
        <v>0</v>
      </c>
      <c r="H25" s="141">
        <f t="shared" si="1"/>
        <v>0</v>
      </c>
      <c r="I25" s="141">
        <f t="shared" si="2"/>
        <v>0</v>
      </c>
      <c r="J25" s="139" t="str">
        <f>IF(EINGABEN!C25="","",EINGABEN!C25)</f>
        <v/>
      </c>
      <c r="K25" s="143" t="str">
        <f t="shared" si="3"/>
        <v/>
      </c>
      <c r="L25" s="138" t="str">
        <f t="shared" si="5"/>
        <v/>
      </c>
      <c r="M25" s="138" t="str">
        <f t="shared" si="6"/>
        <v/>
      </c>
      <c r="N25" s="61"/>
      <c r="O25" s="61"/>
      <c r="P25" s="61"/>
    </row>
    <row r="26" spans="1:16" x14ac:dyDescent="0.3">
      <c r="A26" s="150">
        <f>EINGABEN!C26</f>
        <v>0</v>
      </c>
      <c r="B26" s="106">
        <f>EINGABEN!D26</f>
        <v>0</v>
      </c>
      <c r="C26" s="106"/>
      <c r="D26" s="106">
        <f>EINGABEN!C26</f>
        <v>0</v>
      </c>
      <c r="E26" s="106">
        <f t="shared" si="4"/>
        <v>0</v>
      </c>
      <c r="F26" s="151">
        <f>(C52+C54*D26)</f>
        <v>-47.625348000000002</v>
      </c>
      <c r="G26" s="141">
        <f t="shared" si="0"/>
        <v>0</v>
      </c>
      <c r="H26" s="141">
        <f t="shared" si="1"/>
        <v>0</v>
      </c>
      <c r="I26" s="141">
        <f>(E26)^2</f>
        <v>0</v>
      </c>
      <c r="J26" s="139" t="str">
        <f>IF(EINGABEN!C26="","",EINGABEN!C26)</f>
        <v/>
      </c>
      <c r="K26" s="143" t="str">
        <f t="shared" si="3"/>
        <v/>
      </c>
      <c r="L26" s="138" t="str">
        <f t="shared" si="5"/>
        <v/>
      </c>
      <c r="M26" s="138" t="str">
        <f t="shared" si="6"/>
        <v/>
      </c>
      <c r="N26" s="61"/>
      <c r="O26" s="61"/>
      <c r="P26" s="61"/>
    </row>
    <row r="27" spans="1:16" x14ac:dyDescent="0.3">
      <c r="A27" s="150">
        <f>EINGABEN!C27</f>
        <v>0</v>
      </c>
      <c r="B27" s="106">
        <f>EINGABEN!D27</f>
        <v>0</v>
      </c>
      <c r="C27" s="106"/>
      <c r="D27" s="106">
        <f>EINGABEN!C27</f>
        <v>0</v>
      </c>
      <c r="E27" s="106">
        <f t="shared" si="4"/>
        <v>0</v>
      </c>
      <c r="F27" s="151">
        <f>(C52+C54*D27)</f>
        <v>-47.625348000000002</v>
      </c>
      <c r="G27" s="141">
        <f t="shared" si="0"/>
        <v>0</v>
      </c>
      <c r="H27" s="141">
        <f t="shared" si="1"/>
        <v>0</v>
      </c>
      <c r="I27" s="141">
        <f t="shared" si="2"/>
        <v>0</v>
      </c>
      <c r="J27" s="139" t="str">
        <f>IF(EINGABEN!C27="","",EINGABEN!C27)</f>
        <v/>
      </c>
      <c r="K27" s="143" t="str">
        <f t="shared" si="3"/>
        <v/>
      </c>
      <c r="L27" s="138" t="str">
        <f t="shared" si="5"/>
        <v/>
      </c>
      <c r="M27" s="138" t="str">
        <f t="shared" si="6"/>
        <v/>
      </c>
      <c r="N27" s="61"/>
      <c r="O27" s="61"/>
      <c r="P27" s="61"/>
    </row>
    <row r="28" spans="1:16" x14ac:dyDescent="0.3">
      <c r="A28" s="150">
        <f>EINGABEN!C28</f>
        <v>0</v>
      </c>
      <c r="B28" s="106">
        <f>EINGABEN!D28</f>
        <v>0</v>
      </c>
      <c r="C28" s="106"/>
      <c r="D28" s="106">
        <f>EINGABEN!C28</f>
        <v>0</v>
      </c>
      <c r="E28" s="106">
        <f t="shared" si="4"/>
        <v>0</v>
      </c>
      <c r="F28" s="151">
        <f>(C52+C54*D28)</f>
        <v>-47.625348000000002</v>
      </c>
      <c r="G28" s="141">
        <f t="shared" si="0"/>
        <v>0</v>
      </c>
      <c r="H28" s="141">
        <f t="shared" si="1"/>
        <v>0</v>
      </c>
      <c r="I28" s="141">
        <f t="shared" si="2"/>
        <v>0</v>
      </c>
      <c r="J28" s="139" t="str">
        <f>IF(EINGABEN!C28="","",EINGABEN!C28)</f>
        <v/>
      </c>
      <c r="K28" s="152" t="str">
        <f t="shared" si="3"/>
        <v/>
      </c>
      <c r="L28" s="139" t="str">
        <f t="shared" si="5"/>
        <v/>
      </c>
      <c r="M28" s="139" t="str">
        <f t="shared" si="6"/>
        <v/>
      </c>
      <c r="N28" s="61"/>
      <c r="O28" s="61"/>
      <c r="P28" s="61"/>
    </row>
    <row r="29" spans="1:16" x14ac:dyDescent="0.3">
      <c r="A29" s="150">
        <f>EINGABEN!C29</f>
        <v>0</v>
      </c>
      <c r="B29" s="106">
        <f>EINGABEN!D29</f>
        <v>0</v>
      </c>
      <c r="C29" s="106"/>
      <c r="D29" s="106">
        <f>EINGABEN!C29</f>
        <v>0</v>
      </c>
      <c r="E29" s="106">
        <f t="shared" si="4"/>
        <v>0</v>
      </c>
      <c r="F29" s="151">
        <f>(C52+C54*D29)</f>
        <v>-47.625348000000002</v>
      </c>
      <c r="G29" s="141">
        <f t="shared" si="0"/>
        <v>0</v>
      </c>
      <c r="H29" s="141">
        <f t="shared" si="1"/>
        <v>0</v>
      </c>
      <c r="I29" s="141">
        <f t="shared" si="2"/>
        <v>0</v>
      </c>
      <c r="J29" s="139" t="str">
        <f>IF(EINGABEN!C29="","",EINGABEN!C29)</f>
        <v/>
      </c>
      <c r="K29" s="152" t="str">
        <f t="shared" si="3"/>
        <v/>
      </c>
      <c r="L29" s="139" t="str">
        <f t="shared" si="5"/>
        <v/>
      </c>
      <c r="M29" s="139" t="str">
        <f t="shared" si="6"/>
        <v/>
      </c>
      <c r="N29" s="61"/>
      <c r="O29" s="61"/>
      <c r="P29" s="61"/>
    </row>
    <row r="30" spans="1:16" x14ac:dyDescent="0.3">
      <c r="A30" s="150">
        <f>EINGABEN!C30</f>
        <v>0</v>
      </c>
      <c r="B30" s="106">
        <f>EINGABEN!D30</f>
        <v>0</v>
      </c>
      <c r="C30" s="106"/>
      <c r="D30" s="106">
        <f>EINGABEN!C30</f>
        <v>0</v>
      </c>
      <c r="E30" s="106">
        <f t="shared" si="4"/>
        <v>0</v>
      </c>
      <c r="F30" s="151">
        <f>(C52+C54*D30)</f>
        <v>-47.625348000000002</v>
      </c>
      <c r="G30" s="141">
        <f t="shared" si="0"/>
        <v>0</v>
      </c>
      <c r="H30" s="141">
        <f t="shared" si="1"/>
        <v>0</v>
      </c>
      <c r="I30" s="141">
        <f t="shared" si="2"/>
        <v>0</v>
      </c>
      <c r="J30" s="139" t="str">
        <f>IF(EINGABEN!C30="","",EINGABEN!C30)</f>
        <v/>
      </c>
      <c r="K30" s="152" t="str">
        <f t="shared" si="3"/>
        <v/>
      </c>
      <c r="L30" s="139" t="str">
        <f t="shared" si="5"/>
        <v/>
      </c>
      <c r="M30" s="139" t="str">
        <f t="shared" si="6"/>
        <v/>
      </c>
      <c r="N30" s="61"/>
      <c r="O30" s="61"/>
      <c r="P30" s="61"/>
    </row>
    <row r="31" spans="1:16" x14ac:dyDescent="0.3">
      <c r="A31" s="150">
        <f>EINGABEN!C31</f>
        <v>0</v>
      </c>
      <c r="B31" s="106">
        <f>EINGABEN!D31</f>
        <v>0</v>
      </c>
      <c r="C31" s="106"/>
      <c r="D31" s="106">
        <f>EINGABEN!C31</f>
        <v>0</v>
      </c>
      <c r="E31" s="106">
        <f t="shared" si="4"/>
        <v>0</v>
      </c>
      <c r="F31" s="151">
        <f>(C52+C54*D31)</f>
        <v>-47.625348000000002</v>
      </c>
      <c r="G31" s="141">
        <f t="shared" si="0"/>
        <v>0</v>
      </c>
      <c r="H31" s="141">
        <f t="shared" si="1"/>
        <v>0</v>
      </c>
      <c r="I31" s="141">
        <f t="shared" si="2"/>
        <v>0</v>
      </c>
      <c r="J31" s="139" t="str">
        <f>IF(EINGABEN!C31="","",EINGABEN!C31)</f>
        <v/>
      </c>
      <c r="K31" s="152" t="str">
        <f t="shared" si="3"/>
        <v/>
      </c>
      <c r="L31" s="139" t="str">
        <f t="shared" si="5"/>
        <v/>
      </c>
      <c r="M31" s="139" t="str">
        <f t="shared" si="6"/>
        <v/>
      </c>
      <c r="N31" s="61"/>
      <c r="O31" s="61"/>
      <c r="P31" s="61"/>
    </row>
    <row r="32" spans="1:16" x14ac:dyDescent="0.3">
      <c r="A32" s="150">
        <f>EINGABEN!C32</f>
        <v>0</v>
      </c>
      <c r="B32" s="106">
        <f>EINGABEN!D32</f>
        <v>0</v>
      </c>
      <c r="C32" s="106"/>
      <c r="D32" s="106">
        <f>EINGABEN!C32</f>
        <v>0</v>
      </c>
      <c r="E32" s="106">
        <f t="shared" si="4"/>
        <v>0</v>
      </c>
      <c r="F32" s="151">
        <f>(C52+C54*D32)</f>
        <v>-47.625348000000002</v>
      </c>
      <c r="G32" s="141">
        <f t="shared" si="0"/>
        <v>0</v>
      </c>
      <c r="H32" s="141">
        <f t="shared" si="1"/>
        <v>0</v>
      </c>
      <c r="I32" s="141">
        <f t="shared" si="2"/>
        <v>0</v>
      </c>
      <c r="J32" s="139" t="str">
        <f>IF(EINGABEN!C32="","",EINGABEN!C32)</f>
        <v/>
      </c>
      <c r="K32" s="152" t="str">
        <f t="shared" si="3"/>
        <v/>
      </c>
      <c r="L32" s="139" t="str">
        <f t="shared" si="5"/>
        <v/>
      </c>
      <c r="M32" s="139" t="str">
        <f t="shared" si="6"/>
        <v/>
      </c>
      <c r="N32" s="61"/>
      <c r="O32" s="61"/>
      <c r="P32" s="61"/>
    </row>
    <row r="33" spans="1:16" x14ac:dyDescent="0.3">
      <c r="A33" s="150">
        <f>EINGABEN!C33</f>
        <v>0</v>
      </c>
      <c r="B33" s="106">
        <f>EINGABEN!D33</f>
        <v>0</v>
      </c>
      <c r="C33" s="106"/>
      <c r="D33" s="106">
        <f>EINGABEN!C33</f>
        <v>0</v>
      </c>
      <c r="E33" s="106">
        <f t="shared" si="4"/>
        <v>0</v>
      </c>
      <c r="F33" s="151">
        <f>(C52+C54*D33)</f>
        <v>-47.625348000000002</v>
      </c>
      <c r="G33" s="141">
        <f t="shared" si="0"/>
        <v>0</v>
      </c>
      <c r="H33" s="141">
        <f t="shared" si="1"/>
        <v>0</v>
      </c>
      <c r="I33" s="141">
        <f t="shared" si="2"/>
        <v>0</v>
      </c>
      <c r="J33" s="139" t="str">
        <f>IF(EINGABEN!C33="","",EINGABEN!C33)</f>
        <v/>
      </c>
      <c r="K33" s="152" t="str">
        <f t="shared" si="3"/>
        <v/>
      </c>
      <c r="L33" s="139" t="str">
        <f t="shared" si="5"/>
        <v/>
      </c>
      <c r="M33" s="139" t="str">
        <f t="shared" si="6"/>
        <v/>
      </c>
      <c r="N33" s="61"/>
      <c r="O33" s="61"/>
      <c r="P33" s="61"/>
    </row>
    <row r="34" spans="1:16" x14ac:dyDescent="0.3">
      <c r="A34" s="150">
        <f>EINGABEN!C34</f>
        <v>0</v>
      </c>
      <c r="B34" s="106">
        <f>EINGABEN!D34</f>
        <v>0</v>
      </c>
      <c r="C34" s="106"/>
      <c r="D34" s="106">
        <f>EINGABEN!C34</f>
        <v>0</v>
      </c>
      <c r="E34" s="106">
        <f t="shared" si="4"/>
        <v>0</v>
      </c>
      <c r="F34" s="151">
        <f>(C52+C54*D34)</f>
        <v>-47.625348000000002</v>
      </c>
      <c r="G34" s="141">
        <f t="shared" si="0"/>
        <v>0</v>
      </c>
      <c r="H34" s="141">
        <f t="shared" si="1"/>
        <v>0</v>
      </c>
      <c r="I34" s="141">
        <f t="shared" si="2"/>
        <v>0</v>
      </c>
      <c r="J34" s="139" t="str">
        <f>IF(EINGABEN!C34="","",EINGABEN!C34)</f>
        <v/>
      </c>
      <c r="K34" s="152" t="str">
        <f t="shared" si="3"/>
        <v/>
      </c>
      <c r="L34" s="139" t="str">
        <f t="shared" si="5"/>
        <v/>
      </c>
      <c r="M34" s="139" t="str">
        <f t="shared" si="6"/>
        <v/>
      </c>
      <c r="N34" s="61"/>
      <c r="O34" s="61"/>
      <c r="P34" s="61"/>
    </row>
    <row r="35" spans="1:16" x14ac:dyDescent="0.3">
      <c r="A35" s="150">
        <f>EINGABEN!C35</f>
        <v>0</v>
      </c>
      <c r="B35" s="106">
        <f>EINGABEN!D35</f>
        <v>0</v>
      </c>
      <c r="C35" s="106"/>
      <c r="D35" s="106">
        <f>EINGABEN!C35</f>
        <v>0</v>
      </c>
      <c r="E35" s="106">
        <f t="shared" si="4"/>
        <v>0</v>
      </c>
      <c r="F35" s="151">
        <f>(C52+C54*D35)</f>
        <v>-47.625348000000002</v>
      </c>
      <c r="G35" s="141">
        <f t="shared" si="0"/>
        <v>0</v>
      </c>
      <c r="H35" s="141">
        <f t="shared" si="1"/>
        <v>0</v>
      </c>
      <c r="I35" s="141">
        <f t="shared" si="2"/>
        <v>0</v>
      </c>
      <c r="J35" s="139" t="str">
        <f>IF(EINGABEN!C35="","",EINGABEN!C35)</f>
        <v/>
      </c>
      <c r="K35" s="152" t="str">
        <f t="shared" si="3"/>
        <v/>
      </c>
      <c r="L35" s="139" t="str">
        <f t="shared" si="5"/>
        <v/>
      </c>
      <c r="M35" s="139" t="str">
        <f t="shared" si="6"/>
        <v/>
      </c>
      <c r="N35" s="61"/>
      <c r="O35" s="61"/>
      <c r="P35" s="61"/>
    </row>
    <row r="36" spans="1:16" x14ac:dyDescent="0.3">
      <c r="A36" s="150">
        <f>EINGABEN!C36</f>
        <v>0</v>
      </c>
      <c r="B36" s="106">
        <f>EINGABEN!D36</f>
        <v>0</v>
      </c>
      <c r="C36" s="106"/>
      <c r="D36" s="106">
        <f>EINGABEN!C36</f>
        <v>0</v>
      </c>
      <c r="E36" s="106">
        <f t="shared" si="4"/>
        <v>0</v>
      </c>
      <c r="F36" s="151">
        <f>(C52+C54*D36)</f>
        <v>-47.625348000000002</v>
      </c>
      <c r="G36" s="141">
        <f t="shared" si="0"/>
        <v>0</v>
      </c>
      <c r="H36" s="141">
        <f t="shared" si="1"/>
        <v>0</v>
      </c>
      <c r="I36" s="141">
        <f t="shared" si="2"/>
        <v>0</v>
      </c>
      <c r="J36" s="139" t="str">
        <f>IF(EINGABEN!C36="","",EINGABEN!C36)</f>
        <v/>
      </c>
      <c r="K36" s="152" t="str">
        <f t="shared" si="3"/>
        <v/>
      </c>
      <c r="L36" s="139" t="str">
        <f t="shared" si="5"/>
        <v/>
      </c>
      <c r="M36" s="139" t="str">
        <f t="shared" si="6"/>
        <v/>
      </c>
      <c r="N36" s="61"/>
      <c r="O36" s="61"/>
      <c r="P36" s="61"/>
    </row>
    <row r="37" spans="1:16" x14ac:dyDescent="0.3">
      <c r="A37" s="150">
        <f>EINGABEN!C37</f>
        <v>0</v>
      </c>
      <c r="B37" s="106">
        <f>EINGABEN!D37</f>
        <v>0</v>
      </c>
      <c r="C37" s="106"/>
      <c r="D37" s="106">
        <f>EINGABEN!C37</f>
        <v>0</v>
      </c>
      <c r="E37" s="106">
        <f t="shared" si="4"/>
        <v>0</v>
      </c>
      <c r="F37" s="151">
        <f>(C52+C54*D37)</f>
        <v>-47.625348000000002</v>
      </c>
      <c r="G37" s="141">
        <f t="shared" si="0"/>
        <v>0</v>
      </c>
      <c r="H37" s="141">
        <f t="shared" si="1"/>
        <v>0</v>
      </c>
      <c r="I37" s="141">
        <f t="shared" si="2"/>
        <v>0</v>
      </c>
      <c r="J37" s="139" t="str">
        <f>IF(EINGABEN!C37="","",EINGABEN!C37)</f>
        <v/>
      </c>
      <c r="K37" s="152" t="str">
        <f t="shared" si="3"/>
        <v/>
      </c>
      <c r="L37" s="139" t="str">
        <f t="shared" si="5"/>
        <v/>
      </c>
      <c r="M37" s="139" t="str">
        <f t="shared" si="6"/>
        <v/>
      </c>
      <c r="N37" s="61"/>
      <c r="O37" s="61"/>
      <c r="P37" s="61"/>
    </row>
    <row r="38" spans="1:16" x14ac:dyDescent="0.3">
      <c r="A38" s="150">
        <f>EINGABEN!C38</f>
        <v>0</v>
      </c>
      <c r="B38" s="106">
        <f>EINGABEN!D38</f>
        <v>0</v>
      </c>
      <c r="C38" s="106"/>
      <c r="D38" s="106">
        <f>EINGABEN!C38</f>
        <v>0</v>
      </c>
      <c r="E38" s="106">
        <f t="shared" si="4"/>
        <v>0</v>
      </c>
      <c r="F38" s="151">
        <f>(C52+C54*D38)</f>
        <v>-47.625348000000002</v>
      </c>
      <c r="G38" s="141">
        <f t="shared" si="0"/>
        <v>0</v>
      </c>
      <c r="H38" s="141">
        <f t="shared" si="1"/>
        <v>0</v>
      </c>
      <c r="I38" s="141">
        <f t="shared" si="2"/>
        <v>0</v>
      </c>
      <c r="J38" s="139" t="str">
        <f>IF(EINGABEN!C38="","",EINGABEN!C38)</f>
        <v/>
      </c>
      <c r="K38" s="152" t="str">
        <f t="shared" si="3"/>
        <v/>
      </c>
      <c r="L38" s="139" t="str">
        <f t="shared" si="5"/>
        <v/>
      </c>
      <c r="M38" s="139" t="str">
        <f t="shared" si="6"/>
        <v/>
      </c>
      <c r="N38" s="61"/>
      <c r="O38" s="61"/>
      <c r="P38" s="61"/>
    </row>
    <row r="39" spans="1:16" x14ac:dyDescent="0.3">
      <c r="A39" s="150">
        <f>EINGABEN!C39</f>
        <v>0</v>
      </c>
      <c r="B39" s="106">
        <f>EINGABEN!D39</f>
        <v>0</v>
      </c>
      <c r="C39" s="106"/>
      <c r="D39" s="106">
        <f>EINGABEN!C39</f>
        <v>0</v>
      </c>
      <c r="E39" s="106">
        <f t="shared" si="4"/>
        <v>0</v>
      </c>
      <c r="F39" s="151">
        <f>(C52+C54*D39)</f>
        <v>-47.625348000000002</v>
      </c>
      <c r="G39" s="141">
        <f t="shared" si="0"/>
        <v>0</v>
      </c>
      <c r="H39" s="141">
        <f t="shared" si="1"/>
        <v>0</v>
      </c>
      <c r="I39" s="141">
        <f t="shared" si="2"/>
        <v>0</v>
      </c>
      <c r="J39" s="139" t="str">
        <f>IF(EINGABEN!C39="","",EINGABEN!C39)</f>
        <v/>
      </c>
      <c r="K39" s="152" t="str">
        <f t="shared" si="3"/>
        <v/>
      </c>
      <c r="L39" s="139" t="str">
        <f t="shared" si="5"/>
        <v/>
      </c>
      <c r="M39" s="139" t="str">
        <f t="shared" si="6"/>
        <v/>
      </c>
      <c r="N39" s="61"/>
      <c r="O39" s="61"/>
      <c r="P39" s="61"/>
    </row>
    <row r="40" spans="1:16" x14ac:dyDescent="0.3">
      <c r="A40" s="150">
        <f>EINGABEN!C40</f>
        <v>0</v>
      </c>
      <c r="B40" s="106">
        <f>EINGABEN!D40</f>
        <v>0</v>
      </c>
      <c r="C40" s="106"/>
      <c r="D40" s="106">
        <f>EINGABEN!C40</f>
        <v>0</v>
      </c>
      <c r="E40" s="106">
        <f t="shared" si="4"/>
        <v>0</v>
      </c>
      <c r="F40" s="151">
        <f>(C52+C54*D40)</f>
        <v>-47.625348000000002</v>
      </c>
      <c r="G40" s="141">
        <f t="shared" si="0"/>
        <v>0</v>
      </c>
      <c r="H40" s="141">
        <f t="shared" si="1"/>
        <v>0</v>
      </c>
      <c r="I40" s="141">
        <f t="shared" si="2"/>
        <v>0</v>
      </c>
      <c r="J40" s="139" t="str">
        <f>IF(EINGABEN!C40="","",EINGABEN!C40)</f>
        <v/>
      </c>
      <c r="K40" s="152" t="str">
        <f t="shared" si="3"/>
        <v/>
      </c>
      <c r="L40" s="139" t="str">
        <f t="shared" si="5"/>
        <v/>
      </c>
      <c r="M40" s="139" t="str">
        <f t="shared" si="6"/>
        <v/>
      </c>
      <c r="N40" s="61"/>
      <c r="O40" s="61"/>
      <c r="P40" s="61"/>
    </row>
    <row r="41" spans="1:16" x14ac:dyDescent="0.3">
      <c r="A41" s="150">
        <f>EINGABEN!C41</f>
        <v>0</v>
      </c>
      <c r="B41" s="106">
        <f>EINGABEN!D41</f>
        <v>0</v>
      </c>
      <c r="C41" s="106"/>
      <c r="D41" s="106">
        <f>EINGABEN!C41</f>
        <v>0</v>
      </c>
      <c r="E41" s="106">
        <f t="shared" si="4"/>
        <v>0</v>
      </c>
      <c r="F41" s="151">
        <f>(C52+C54*D41)</f>
        <v>-47.625348000000002</v>
      </c>
      <c r="G41" s="141">
        <f t="shared" si="0"/>
        <v>0</v>
      </c>
      <c r="H41" s="141">
        <f t="shared" si="1"/>
        <v>0</v>
      </c>
      <c r="I41" s="141">
        <f t="shared" si="2"/>
        <v>0</v>
      </c>
      <c r="J41" s="139" t="str">
        <f>IF(EINGABEN!C41="","",EINGABEN!C41)</f>
        <v/>
      </c>
      <c r="K41" s="152" t="str">
        <f t="shared" si="3"/>
        <v/>
      </c>
      <c r="L41" s="139" t="str">
        <f t="shared" si="5"/>
        <v/>
      </c>
      <c r="M41" s="139" t="str">
        <f t="shared" si="6"/>
        <v/>
      </c>
      <c r="N41" s="61"/>
      <c r="O41" s="50"/>
      <c r="P41" s="61"/>
    </row>
    <row r="42" spans="1:16" x14ac:dyDescent="0.3">
      <c r="A42" s="150">
        <f>EINGABEN!C42</f>
        <v>0</v>
      </c>
      <c r="B42" s="106">
        <f>EINGABEN!D42</f>
        <v>0</v>
      </c>
      <c r="C42" s="106"/>
      <c r="D42" s="106">
        <f>EINGABEN!C42</f>
        <v>0</v>
      </c>
      <c r="E42" s="106">
        <f t="shared" si="4"/>
        <v>0</v>
      </c>
      <c r="F42" s="151">
        <f>(C52+C54*D42)</f>
        <v>-47.625348000000002</v>
      </c>
      <c r="G42" s="141">
        <f t="shared" si="0"/>
        <v>0</v>
      </c>
      <c r="H42" s="141">
        <f t="shared" si="1"/>
        <v>0</v>
      </c>
      <c r="I42" s="141">
        <f t="shared" si="2"/>
        <v>0</v>
      </c>
      <c r="J42" s="139" t="str">
        <f>IF(EINGABEN!C42="","",EINGABEN!C42)</f>
        <v/>
      </c>
      <c r="K42" s="152" t="str">
        <f t="shared" si="3"/>
        <v/>
      </c>
      <c r="L42" s="139" t="str">
        <f t="shared" si="5"/>
        <v/>
      </c>
      <c r="M42" s="139" t="str">
        <f t="shared" si="6"/>
        <v/>
      </c>
      <c r="N42" s="61"/>
      <c r="O42" s="50"/>
      <c r="P42" s="61"/>
    </row>
    <row r="43" spans="1:16" x14ac:dyDescent="0.3">
      <c r="A43" s="150">
        <f>EINGABEN!C43</f>
        <v>0</v>
      </c>
      <c r="B43" s="106">
        <f>EINGABEN!D43</f>
        <v>0</v>
      </c>
      <c r="C43" s="106"/>
      <c r="D43" s="106">
        <f>EINGABEN!C43</f>
        <v>0</v>
      </c>
      <c r="E43" s="106">
        <f t="shared" si="4"/>
        <v>0</v>
      </c>
      <c r="F43" s="151">
        <f>(C52+C54*D43)</f>
        <v>-47.625348000000002</v>
      </c>
      <c r="G43" s="141">
        <f t="shared" si="0"/>
        <v>0</v>
      </c>
      <c r="H43" s="141">
        <f t="shared" si="1"/>
        <v>0</v>
      </c>
      <c r="I43" s="141">
        <f>(E43)^2</f>
        <v>0</v>
      </c>
      <c r="J43" s="139" t="str">
        <f>IF(EINGABEN!C43="","",EINGABEN!C43)</f>
        <v/>
      </c>
      <c r="K43" s="152" t="str">
        <f t="shared" si="3"/>
        <v/>
      </c>
      <c r="L43" s="139" t="str">
        <f t="shared" si="5"/>
        <v/>
      </c>
      <c r="M43" s="139" t="str">
        <f t="shared" si="6"/>
        <v/>
      </c>
      <c r="N43" s="61"/>
      <c r="O43" s="50"/>
      <c r="P43" s="61"/>
    </row>
    <row r="44" spans="1:16" x14ac:dyDescent="0.3">
      <c r="A44" s="150">
        <f>EINGABEN!C44</f>
        <v>0</v>
      </c>
      <c r="B44" s="106">
        <f>EINGABEN!D44</f>
        <v>0</v>
      </c>
      <c r="C44" s="106"/>
      <c r="D44" s="106">
        <f>EINGABEN!C44</f>
        <v>0</v>
      </c>
      <c r="E44" s="106">
        <f t="shared" si="4"/>
        <v>0</v>
      </c>
      <c r="F44" s="151">
        <f>(C52+C54*D44)</f>
        <v>-47.625348000000002</v>
      </c>
      <c r="G44" s="141">
        <f t="shared" si="0"/>
        <v>0</v>
      </c>
      <c r="H44" s="141">
        <f t="shared" si="1"/>
        <v>0</v>
      </c>
      <c r="I44" s="141">
        <f t="shared" si="2"/>
        <v>0</v>
      </c>
      <c r="J44" s="139" t="str">
        <f>IF(EINGABEN!C44="","",EINGABEN!C44)</f>
        <v/>
      </c>
      <c r="K44" s="152" t="str">
        <f t="shared" si="3"/>
        <v/>
      </c>
      <c r="L44" s="139" t="str">
        <f t="shared" si="5"/>
        <v/>
      </c>
      <c r="M44" s="139" t="str">
        <f t="shared" si="6"/>
        <v/>
      </c>
      <c r="N44" s="61"/>
      <c r="O44" s="50"/>
      <c r="P44" s="61"/>
    </row>
    <row r="45" spans="1:16" ht="15" thickBot="1" x14ac:dyDescent="0.35">
      <c r="A45" s="150">
        <f>EINGABEN!C45</f>
        <v>0</v>
      </c>
      <c r="B45" s="106">
        <f>EINGABEN!D45</f>
        <v>0</v>
      </c>
      <c r="C45" s="106"/>
      <c r="D45" s="106">
        <f>EINGABEN!C45</f>
        <v>0</v>
      </c>
      <c r="E45" s="106">
        <f t="shared" si="4"/>
        <v>0</v>
      </c>
      <c r="F45" s="151">
        <f>(C52+C54*D45)</f>
        <v>-47.625348000000002</v>
      </c>
      <c r="G45" s="141">
        <f t="shared" si="0"/>
        <v>0</v>
      </c>
      <c r="H45" s="141">
        <f t="shared" si="1"/>
        <v>0</v>
      </c>
      <c r="I45" s="141">
        <f t="shared" si="2"/>
        <v>0</v>
      </c>
      <c r="J45" s="139" t="str">
        <f>IF(EINGABEN!C45="","",EINGABEN!C45)</f>
        <v/>
      </c>
      <c r="K45" s="139"/>
      <c r="L45" s="139" t="str">
        <f t="shared" si="5"/>
        <v/>
      </c>
      <c r="M45" s="139" t="str">
        <f t="shared" si="6"/>
        <v/>
      </c>
      <c r="N45" s="61"/>
      <c r="O45" s="50"/>
      <c r="P45" s="61"/>
    </row>
    <row r="46" spans="1:16" ht="15" thickTop="1" x14ac:dyDescent="0.3">
      <c r="A46" s="153" t="s">
        <v>44</v>
      </c>
      <c r="B46" s="154"/>
      <c r="C46" s="154"/>
      <c r="D46" s="154"/>
      <c r="E46" s="154"/>
      <c r="F46" s="149"/>
      <c r="G46" s="152"/>
      <c r="H46" s="152"/>
      <c r="I46" s="152"/>
      <c r="J46" s="139"/>
      <c r="K46" s="152"/>
      <c r="L46" s="155" t="s">
        <v>116</v>
      </c>
      <c r="M46" s="156">
        <f>((SUM(M6:M45))/((EINGABEN!D46)-1))^0.5</f>
        <v>17.447231002232357</v>
      </c>
      <c r="N46" s="61"/>
      <c r="O46" s="61"/>
      <c r="P46" s="61"/>
    </row>
    <row r="47" spans="1:16" x14ac:dyDescent="0.3">
      <c r="A47" s="157" t="s">
        <v>40</v>
      </c>
      <c r="B47" s="158" t="s">
        <v>102</v>
      </c>
      <c r="C47" s="158"/>
      <c r="D47" s="158"/>
      <c r="E47" s="158"/>
      <c r="F47" s="151"/>
      <c r="G47" s="152"/>
      <c r="H47" s="152"/>
      <c r="I47" s="152"/>
      <c r="J47" s="139"/>
      <c r="K47" s="152"/>
      <c r="L47" s="139"/>
      <c r="M47" s="139"/>
      <c r="N47" s="61"/>
      <c r="O47" s="61"/>
      <c r="P47" s="61"/>
    </row>
    <row r="48" spans="1:16" x14ac:dyDescent="0.3">
      <c r="A48" s="157" t="s">
        <v>41</v>
      </c>
      <c r="B48" s="270" t="s">
        <v>103</v>
      </c>
      <c r="C48" s="270"/>
      <c r="D48" s="270"/>
      <c r="E48" s="270"/>
      <c r="F48" s="151"/>
      <c r="G48" s="152"/>
      <c r="H48" s="152"/>
      <c r="I48" s="152"/>
      <c r="J48" s="139"/>
      <c r="K48" s="155" t="s">
        <v>117</v>
      </c>
      <c r="L48" s="156">
        <f>(SUM(L6:L45))/(EINGABEN!D46)</f>
        <v>82.275165228149987</v>
      </c>
      <c r="M48" s="139"/>
      <c r="N48" s="61"/>
      <c r="O48" s="61"/>
      <c r="P48" s="61"/>
    </row>
    <row r="49" spans="1:16" ht="15" thickBot="1" x14ac:dyDescent="0.35">
      <c r="A49" s="159" t="s">
        <v>39</v>
      </c>
      <c r="B49" s="160"/>
      <c r="C49" s="160"/>
      <c r="D49" s="160"/>
      <c r="E49" s="160"/>
      <c r="F49" s="161"/>
      <c r="G49" s="152"/>
      <c r="H49" s="152"/>
      <c r="I49" s="152"/>
      <c r="J49" s="138"/>
      <c r="K49" s="138"/>
      <c r="L49" s="138"/>
      <c r="M49" s="138"/>
      <c r="N49" s="61"/>
      <c r="O49" s="61"/>
      <c r="P49" s="61"/>
    </row>
    <row r="50" spans="1:16" ht="15" thickTop="1" x14ac:dyDescent="0.3">
      <c r="A50" s="153"/>
      <c r="B50" s="154"/>
      <c r="C50" s="154"/>
      <c r="D50" s="154"/>
      <c r="E50" s="154"/>
      <c r="F50" s="149"/>
      <c r="G50" s="152"/>
      <c r="H50" s="152"/>
      <c r="I50" s="152"/>
      <c r="J50" s="138"/>
      <c r="K50" s="138"/>
      <c r="L50" s="138"/>
      <c r="M50" s="138"/>
      <c r="N50" s="61"/>
      <c r="O50" s="61"/>
      <c r="P50" s="61"/>
    </row>
    <row r="51" spans="1:16" x14ac:dyDescent="0.3">
      <c r="A51" s="157"/>
      <c r="B51" s="158"/>
      <c r="C51" s="158"/>
      <c r="D51" s="158"/>
      <c r="E51" s="158"/>
      <c r="F51" s="151"/>
      <c r="G51" s="152"/>
      <c r="H51" s="152"/>
      <c r="I51" s="152"/>
      <c r="J51" s="138"/>
      <c r="K51" s="138"/>
      <c r="L51" s="138"/>
      <c r="M51" s="138"/>
      <c r="N51" s="61"/>
      <c r="O51" s="61"/>
      <c r="P51" s="61"/>
    </row>
    <row r="52" spans="1:16" x14ac:dyDescent="0.3">
      <c r="A52" s="162" t="s">
        <v>11</v>
      </c>
      <c r="B52" s="163"/>
      <c r="C52" s="164">
        <f>ROUND(((E4-(C54*D4))/C4),6)</f>
        <v>-47.625348000000002</v>
      </c>
      <c r="D52" s="158"/>
      <c r="E52" s="158"/>
      <c r="F52" s="165"/>
      <c r="G52" s="166"/>
      <c r="H52" s="166"/>
      <c r="I52" s="166"/>
      <c r="J52" s="138"/>
      <c r="K52" s="138"/>
      <c r="L52" s="138"/>
      <c r="M52" s="138"/>
      <c r="N52" s="61"/>
      <c r="O52" s="61"/>
      <c r="P52" s="61"/>
    </row>
    <row r="53" spans="1:16" x14ac:dyDescent="0.3">
      <c r="A53" s="167"/>
      <c r="B53" s="168"/>
      <c r="C53" s="168"/>
      <c r="D53" s="158"/>
      <c r="E53" s="158"/>
      <c r="F53" s="151"/>
      <c r="G53" s="152"/>
      <c r="H53" s="152"/>
      <c r="I53" s="152"/>
      <c r="J53" s="138"/>
      <c r="K53" s="138"/>
      <c r="L53" s="138"/>
      <c r="M53" s="138"/>
      <c r="N53" s="61"/>
      <c r="O53" s="61"/>
      <c r="P53" s="61"/>
    </row>
    <row r="54" spans="1:16" x14ac:dyDescent="0.3">
      <c r="A54" s="169" t="s">
        <v>12</v>
      </c>
      <c r="B54" s="168"/>
      <c r="C54" s="168">
        <f>ROUND((C4*G4-D4*E4)/(C4*H4-(D4)^2),6)</f>
        <v>16.547815</v>
      </c>
      <c r="D54" s="158"/>
      <c r="E54" s="158"/>
      <c r="F54" s="151"/>
      <c r="G54" s="143"/>
      <c r="H54" s="152"/>
      <c r="I54" s="152"/>
      <c r="J54" s="138"/>
      <c r="K54" s="138"/>
      <c r="L54" s="138"/>
      <c r="M54" s="138"/>
      <c r="N54" s="61"/>
      <c r="O54" s="61"/>
      <c r="P54" s="61"/>
    </row>
    <row r="55" spans="1:16" x14ac:dyDescent="0.3">
      <c r="A55" s="167"/>
      <c r="B55" s="168"/>
      <c r="C55" s="168"/>
      <c r="D55" s="158"/>
      <c r="E55" s="158"/>
      <c r="F55" s="151"/>
      <c r="G55" s="152"/>
      <c r="H55" s="152"/>
      <c r="I55" s="152"/>
      <c r="J55" s="138"/>
      <c r="K55" s="138"/>
      <c r="L55" s="138"/>
      <c r="M55" s="138"/>
      <c r="N55" s="61"/>
      <c r="O55" s="61"/>
      <c r="P55" s="61"/>
    </row>
    <row r="56" spans="1:16" x14ac:dyDescent="0.3">
      <c r="A56" s="169" t="s">
        <v>13</v>
      </c>
      <c r="B56" s="168"/>
      <c r="C56" s="168">
        <f>IF(D58/D59&gt;1,1,ROUND(ABS(D58/D59),6))</f>
        <v>0.97662400000000005</v>
      </c>
      <c r="D56" s="158"/>
      <c r="E56" s="158"/>
      <c r="F56" s="151"/>
      <c r="G56" s="152"/>
      <c r="H56" s="152"/>
      <c r="I56" s="152"/>
      <c r="J56" s="138"/>
      <c r="K56" s="138"/>
      <c r="L56" s="138"/>
      <c r="M56" s="138"/>
      <c r="N56" s="61"/>
      <c r="O56" s="61"/>
      <c r="P56" s="61"/>
    </row>
    <row r="57" spans="1:16" ht="15" thickBot="1" x14ac:dyDescent="0.35">
      <c r="A57" s="159"/>
      <c r="B57" s="160"/>
      <c r="C57" s="160"/>
      <c r="D57" s="160"/>
      <c r="E57" s="160"/>
      <c r="F57" s="161"/>
      <c r="G57" s="152"/>
      <c r="H57" s="152"/>
      <c r="I57" s="152"/>
      <c r="J57" s="138"/>
      <c r="K57" s="138"/>
      <c r="L57" s="138"/>
      <c r="M57" s="138"/>
      <c r="N57" s="61"/>
      <c r="O57" s="61"/>
      <c r="P57" s="61"/>
    </row>
    <row r="58" spans="1:16" ht="15" thickTop="1" x14ac:dyDescent="0.3">
      <c r="A58" s="169" t="s">
        <v>14</v>
      </c>
      <c r="B58" s="170"/>
      <c r="C58" s="171" t="s">
        <v>19</v>
      </c>
      <c r="D58" s="172">
        <f>(C4*G4-(D4*E4))</f>
        <v>34175.375</v>
      </c>
      <c r="E58" s="173" t="s">
        <v>71</v>
      </c>
      <c r="F58" s="151"/>
      <c r="G58" s="152"/>
      <c r="H58" s="152"/>
      <c r="I58" s="152"/>
      <c r="J58" s="138"/>
      <c r="K58" s="138"/>
      <c r="L58" s="138"/>
      <c r="M58" s="138"/>
      <c r="N58" s="61"/>
      <c r="O58" s="61"/>
      <c r="P58" s="61"/>
    </row>
    <row r="59" spans="1:16" x14ac:dyDescent="0.3">
      <c r="A59" s="174"/>
      <c r="B59" s="170"/>
      <c r="C59" s="171" t="s">
        <v>20</v>
      </c>
      <c r="D59" s="173">
        <f>((C4*H4-(D4)^2)*(C4*I4-(E4)^2))^0.5</f>
        <v>34993.384180307927</v>
      </c>
      <c r="E59" s="173" t="s">
        <v>71</v>
      </c>
      <c r="F59" s="151"/>
      <c r="G59" s="152"/>
      <c r="H59" s="152"/>
      <c r="I59" s="152"/>
      <c r="J59" s="138"/>
      <c r="K59" s="138"/>
      <c r="L59" s="138"/>
      <c r="M59" s="138"/>
      <c r="N59" s="61"/>
      <c r="O59" s="61"/>
      <c r="P59" s="61"/>
    </row>
    <row r="60" spans="1:16" x14ac:dyDescent="0.3">
      <c r="A60" s="175"/>
      <c r="C60" s="271" t="s">
        <v>110</v>
      </c>
      <c r="D60" s="272"/>
      <c r="E60" s="176">
        <f>IF(EINGABEN!D46&lt;10,"Anzahl zu klein",(ROUND((E61*(1+E64/100)),2)))</f>
        <v>228.63</v>
      </c>
      <c r="F60" s="177"/>
      <c r="G60" s="152"/>
      <c r="H60" s="152"/>
      <c r="I60" s="152"/>
      <c r="J60" s="138"/>
      <c r="K60" s="138"/>
      <c r="L60" s="138"/>
      <c r="M60" s="138"/>
      <c r="N60" s="61"/>
      <c r="O60" s="61"/>
      <c r="P60" s="61"/>
    </row>
    <row r="61" spans="1:16" x14ac:dyDescent="0.3">
      <c r="A61" s="178" t="s">
        <v>15</v>
      </c>
      <c r="B61" s="187">
        <v>10</v>
      </c>
      <c r="C61" s="179" t="s">
        <v>16</v>
      </c>
      <c r="D61" s="170" t="s">
        <v>104</v>
      </c>
      <c r="E61" s="180">
        <f>ROUND((C52+C54*B61),2)</f>
        <v>117.85</v>
      </c>
      <c r="F61" s="151"/>
      <c r="G61" s="152"/>
      <c r="H61" s="152"/>
      <c r="I61" s="152"/>
      <c r="J61" s="138"/>
      <c r="K61" s="138"/>
      <c r="L61" s="138"/>
      <c r="M61" s="138"/>
      <c r="N61" s="61"/>
      <c r="O61" s="61"/>
      <c r="P61" s="61"/>
    </row>
    <row r="62" spans="1:16" x14ac:dyDescent="0.3">
      <c r="A62" s="181" t="s">
        <v>63</v>
      </c>
      <c r="B62" s="170" t="s">
        <v>64</v>
      </c>
      <c r="C62" s="271" t="s">
        <v>111</v>
      </c>
      <c r="D62" s="272"/>
      <c r="E62" s="182">
        <f>IF(EINGABEN!D46&lt;10,"Anzahl zu klein",(ROUND((E61*(1-E64/100)),2)))</f>
        <v>7.07</v>
      </c>
      <c r="F62" s="151"/>
      <c r="G62" s="152"/>
      <c r="H62" s="152"/>
      <c r="I62" s="152"/>
      <c r="J62" s="138">
        <v>1111</v>
      </c>
      <c r="K62" s="138"/>
      <c r="L62" s="138"/>
      <c r="M62" s="138"/>
      <c r="N62" s="61"/>
      <c r="O62" s="61"/>
      <c r="P62" s="61"/>
    </row>
    <row r="63" spans="1:16" x14ac:dyDescent="0.3">
      <c r="A63" s="178" t="s">
        <v>17</v>
      </c>
      <c r="B63" s="187">
        <v>117.85</v>
      </c>
      <c r="C63" s="179" t="s">
        <v>16</v>
      </c>
      <c r="D63" s="168" t="s">
        <v>70</v>
      </c>
      <c r="E63" s="180">
        <f>ROUND(((B63-C52)/C54),2)</f>
        <v>10</v>
      </c>
      <c r="F63" s="151"/>
      <c r="G63" s="152"/>
      <c r="H63" s="152"/>
      <c r="I63" s="152"/>
      <c r="J63" s="138"/>
      <c r="K63" s="138"/>
      <c r="L63" s="138"/>
      <c r="M63" s="138"/>
      <c r="N63" s="61"/>
    </row>
    <row r="64" spans="1:16" ht="15" thickBot="1" x14ac:dyDescent="0.35">
      <c r="A64" s="183" t="s">
        <v>66</v>
      </c>
      <c r="B64" s="184" t="s">
        <v>64</v>
      </c>
      <c r="C64" s="273" t="s">
        <v>118</v>
      </c>
      <c r="D64" s="274"/>
      <c r="E64" s="185">
        <f>IF(EINGABEN!D46&lt;10,"Anzahl zu klein",ROUND((((2.868009*(LN(LN(EINGABEN!D46)))^-2.421118)*M46)/L48)*100,0))</f>
        <v>94</v>
      </c>
      <c r="F64" s="161"/>
      <c r="G64" s="152"/>
      <c r="H64" s="152"/>
      <c r="I64" s="152"/>
      <c r="J64" s="138"/>
      <c r="K64" s="138"/>
      <c r="L64" s="138"/>
      <c r="M64" s="138"/>
      <c r="N64" s="61"/>
    </row>
    <row r="65" spans="1:14" ht="15" thickTop="1" x14ac:dyDescent="0.3">
      <c r="A65" s="186"/>
      <c r="B65" s="186"/>
      <c r="C65" s="186"/>
      <c r="D65" s="186"/>
      <c r="E65" s="186"/>
      <c r="F65" s="186"/>
      <c r="G65" s="152"/>
      <c r="H65" s="152"/>
      <c r="I65" s="152"/>
      <c r="J65" s="138">
        <v>4</v>
      </c>
      <c r="K65" s="138"/>
      <c r="L65" s="138"/>
      <c r="M65" s="138"/>
      <c r="N65" s="61"/>
    </row>
    <row r="66" spans="1:14" x14ac:dyDescent="0.3">
      <c r="G66" s="139"/>
      <c r="H66" s="139"/>
      <c r="I66" s="139"/>
      <c r="J66" s="138"/>
      <c r="K66" s="138"/>
      <c r="L66" s="138"/>
      <c r="M66" s="138"/>
      <c r="N66" s="61"/>
    </row>
    <row r="67" spans="1:14" x14ac:dyDescent="0.3">
      <c r="G67" s="139"/>
      <c r="H67" s="139"/>
      <c r="I67" s="139"/>
      <c r="J67" s="138"/>
      <c r="K67" s="138"/>
      <c r="L67" s="138"/>
      <c r="M67" s="138"/>
      <c r="N67" s="61"/>
    </row>
    <row r="68" spans="1:14" x14ac:dyDescent="0.3">
      <c r="G68" s="139"/>
      <c r="H68" s="139"/>
      <c r="I68" s="139"/>
      <c r="J68" s="138"/>
      <c r="K68" s="138"/>
      <c r="L68" s="138"/>
      <c r="M68" s="138"/>
      <c r="N68" s="61"/>
    </row>
    <row r="69" spans="1:14" x14ac:dyDescent="0.3">
      <c r="G69" s="139"/>
      <c r="H69" s="139"/>
      <c r="I69" s="139"/>
      <c r="J69" s="138"/>
      <c r="K69" s="138"/>
      <c r="L69" s="138"/>
      <c r="M69" s="138"/>
      <c r="N69" s="61"/>
    </row>
    <row r="70" spans="1:14" x14ac:dyDescent="0.3">
      <c r="G70" s="139"/>
      <c r="H70" s="139"/>
      <c r="I70" s="139"/>
      <c r="J70" s="138"/>
      <c r="K70" s="138"/>
      <c r="L70" s="138"/>
      <c r="M70" s="138"/>
      <c r="N70" s="61"/>
    </row>
    <row r="71" spans="1:14" x14ac:dyDescent="0.3">
      <c r="G71" s="139"/>
      <c r="H71" s="139"/>
      <c r="I71" s="139"/>
      <c r="J71" s="138"/>
      <c r="K71" s="138"/>
      <c r="L71" s="138"/>
      <c r="M71" s="138"/>
      <c r="N71" s="61"/>
    </row>
    <row r="72" spans="1:14" x14ac:dyDescent="0.3">
      <c r="G72" s="139"/>
      <c r="H72" s="139"/>
      <c r="I72" s="139"/>
      <c r="J72" s="138"/>
      <c r="K72" s="138"/>
      <c r="L72" s="138"/>
      <c r="M72" s="138"/>
      <c r="N72" s="61"/>
    </row>
    <row r="73" spans="1:14" x14ac:dyDescent="0.3">
      <c r="G73" s="139"/>
      <c r="H73" s="139"/>
      <c r="I73" s="139"/>
      <c r="J73" s="138"/>
      <c r="K73" s="138"/>
      <c r="L73" s="138"/>
      <c r="M73" s="138"/>
      <c r="N73" s="61"/>
    </row>
    <row r="74" spans="1:14" x14ac:dyDescent="0.3">
      <c r="G74" s="139"/>
      <c r="H74" s="139"/>
      <c r="I74" s="139"/>
      <c r="J74" s="138"/>
      <c r="K74" s="138"/>
      <c r="L74" s="138"/>
      <c r="M74" s="138"/>
      <c r="N74" s="61"/>
    </row>
    <row r="75" spans="1:14" x14ac:dyDescent="0.3">
      <c r="G75" s="139"/>
      <c r="H75" s="139"/>
      <c r="I75" s="139"/>
      <c r="J75" s="138"/>
      <c r="K75" s="138"/>
      <c r="L75" s="138"/>
      <c r="M75" s="138"/>
      <c r="N75" s="61"/>
    </row>
    <row r="76" spans="1:14" x14ac:dyDescent="0.3">
      <c r="G76" s="139"/>
      <c r="H76" s="139"/>
      <c r="I76" s="139"/>
      <c r="J76" s="138"/>
      <c r="K76" s="138"/>
      <c r="L76" s="138"/>
      <c r="M76" s="138"/>
      <c r="N76" s="61"/>
    </row>
    <row r="77" spans="1:14" x14ac:dyDescent="0.3">
      <c r="G77" s="139"/>
      <c r="H77" s="139"/>
      <c r="I77" s="139"/>
      <c r="J77" s="138"/>
      <c r="K77" s="138"/>
      <c r="L77" s="138"/>
      <c r="M77" s="138"/>
      <c r="N77" s="61"/>
    </row>
    <row r="78" spans="1:14" x14ac:dyDescent="0.3">
      <c r="G78" s="139"/>
      <c r="H78" s="139"/>
      <c r="I78" s="139"/>
      <c r="J78" s="138"/>
      <c r="K78" s="138"/>
      <c r="L78" s="138"/>
      <c r="M78" s="138"/>
      <c r="N78" s="61"/>
    </row>
    <row r="79" spans="1:14" x14ac:dyDescent="0.3">
      <c r="G79" s="139"/>
      <c r="H79" s="139"/>
      <c r="I79" s="139"/>
      <c r="J79" s="138"/>
      <c r="K79" s="138"/>
      <c r="L79" s="138"/>
      <c r="M79" s="138"/>
      <c r="N79" s="61"/>
    </row>
    <row r="80" spans="1:14" x14ac:dyDescent="0.3">
      <c r="G80" s="139"/>
      <c r="H80" s="139"/>
      <c r="I80" s="139"/>
      <c r="J80" s="138"/>
      <c r="K80" s="138"/>
      <c r="L80" s="138"/>
      <c r="M80" s="138"/>
      <c r="N80" s="61"/>
    </row>
    <row r="81" spans="7:14" x14ac:dyDescent="0.3">
      <c r="G81" s="139"/>
      <c r="H81" s="139"/>
      <c r="I81" s="139"/>
      <c r="J81" s="138"/>
      <c r="K81" s="138"/>
      <c r="L81" s="138"/>
      <c r="M81" s="138"/>
      <c r="N81" s="61"/>
    </row>
    <row r="82" spans="7:14" x14ac:dyDescent="0.3">
      <c r="G82" s="139"/>
      <c r="H82" s="139"/>
      <c r="I82" s="139"/>
      <c r="J82" s="138"/>
      <c r="K82" s="138"/>
      <c r="L82" s="138"/>
      <c r="M82" s="138"/>
      <c r="N82" s="61"/>
    </row>
    <row r="83" spans="7:14" x14ac:dyDescent="0.3">
      <c r="G83" s="139"/>
      <c r="H83" s="139"/>
      <c r="I83" s="139"/>
      <c r="J83" s="138"/>
      <c r="K83" s="138"/>
      <c r="L83" s="138"/>
      <c r="M83" s="138"/>
      <c r="N83" s="61"/>
    </row>
    <row r="84" spans="7:14" x14ac:dyDescent="0.3">
      <c r="G84" s="139"/>
      <c r="H84" s="139"/>
      <c r="I84" s="139"/>
      <c r="J84" s="138"/>
      <c r="K84" s="138"/>
      <c r="L84" s="138"/>
      <c r="M84" s="138"/>
      <c r="N84" s="61"/>
    </row>
    <row r="85" spans="7:14" x14ac:dyDescent="0.3">
      <c r="G85" s="139"/>
      <c r="H85" s="139"/>
      <c r="I85" s="139"/>
      <c r="J85" s="138"/>
      <c r="K85" s="138"/>
      <c r="L85" s="138"/>
      <c r="M85" s="138"/>
      <c r="N85" s="61"/>
    </row>
    <row r="86" spans="7:14" x14ac:dyDescent="0.3">
      <c r="G86" s="139"/>
      <c r="H86" s="139"/>
      <c r="I86" s="139"/>
      <c r="J86" s="138"/>
      <c r="K86" s="138"/>
      <c r="L86" s="138"/>
      <c r="M86" s="138"/>
      <c r="N86" s="61"/>
    </row>
    <row r="87" spans="7:14" x14ac:dyDescent="0.3">
      <c r="G87" s="139"/>
      <c r="H87" s="139"/>
      <c r="I87" s="139"/>
      <c r="J87" s="138"/>
      <c r="K87" s="138"/>
      <c r="L87" s="138"/>
      <c r="M87" s="138"/>
      <c r="N87" s="61"/>
    </row>
    <row r="88" spans="7:14" x14ac:dyDescent="0.3">
      <c r="G88" s="139"/>
      <c r="H88" s="139"/>
      <c r="I88" s="139"/>
      <c r="J88" s="138"/>
      <c r="K88" s="138"/>
      <c r="L88" s="138"/>
      <c r="M88" s="138"/>
      <c r="N88" s="61"/>
    </row>
    <row r="89" spans="7:14" x14ac:dyDescent="0.3">
      <c r="G89" s="139"/>
      <c r="H89" s="139"/>
      <c r="I89" s="139"/>
      <c r="J89" s="138"/>
      <c r="K89" s="138"/>
      <c r="L89" s="138"/>
      <c r="M89" s="138"/>
      <c r="N89" s="61"/>
    </row>
    <row r="90" spans="7:14" x14ac:dyDescent="0.3">
      <c r="G90" s="139"/>
      <c r="H90" s="139"/>
      <c r="I90" s="139"/>
      <c r="J90" s="138"/>
      <c r="K90" s="138"/>
      <c r="L90" s="138"/>
      <c r="M90" s="138"/>
      <c r="N90" s="61"/>
    </row>
    <row r="91" spans="7:14" x14ac:dyDescent="0.3">
      <c r="G91" s="139"/>
      <c r="H91" s="139"/>
      <c r="I91" s="139"/>
      <c r="J91" s="138"/>
      <c r="K91" s="138"/>
      <c r="L91" s="138"/>
      <c r="M91" s="138"/>
      <c r="N91" s="61"/>
    </row>
    <row r="92" spans="7:14" x14ac:dyDescent="0.3">
      <c r="G92" s="139"/>
      <c r="H92" s="139"/>
      <c r="I92" s="139"/>
      <c r="J92" s="138"/>
      <c r="K92" s="138"/>
      <c r="L92" s="138"/>
      <c r="M92" s="138"/>
      <c r="N92" s="61"/>
    </row>
    <row r="93" spans="7:14" x14ac:dyDescent="0.3">
      <c r="G93" s="139"/>
      <c r="H93" s="139"/>
      <c r="I93" s="139"/>
      <c r="J93" s="138"/>
      <c r="K93" s="138"/>
      <c r="L93" s="138"/>
      <c r="M93" s="138"/>
      <c r="N93" s="61"/>
    </row>
    <row r="94" spans="7:14" x14ac:dyDescent="0.3">
      <c r="G94" s="139"/>
      <c r="H94" s="139"/>
      <c r="I94" s="139"/>
      <c r="J94" s="138"/>
      <c r="K94" s="138"/>
      <c r="L94" s="138"/>
      <c r="M94" s="138"/>
      <c r="N94" s="61"/>
    </row>
    <row r="95" spans="7:14" x14ac:dyDescent="0.3">
      <c r="G95" s="139"/>
      <c r="H95" s="139"/>
      <c r="I95" s="139"/>
      <c r="J95" s="138"/>
      <c r="K95" s="138"/>
      <c r="L95" s="138"/>
      <c r="M95" s="138"/>
      <c r="N95" s="61"/>
    </row>
    <row r="96" spans="7:14" x14ac:dyDescent="0.3">
      <c r="G96" s="139"/>
      <c r="H96" s="139"/>
      <c r="I96" s="139"/>
      <c r="J96" s="138"/>
      <c r="K96" s="138"/>
      <c r="L96" s="138"/>
      <c r="M96" s="138"/>
      <c r="N96" s="61"/>
    </row>
    <row r="97" spans="7:14" x14ac:dyDescent="0.3">
      <c r="G97" s="139"/>
      <c r="H97" s="139"/>
      <c r="I97" s="139"/>
      <c r="J97" s="138"/>
      <c r="K97" s="138"/>
      <c r="L97" s="138"/>
      <c r="M97" s="138"/>
      <c r="N97" s="61"/>
    </row>
    <row r="98" spans="7:14" x14ac:dyDescent="0.3">
      <c r="G98" s="139"/>
      <c r="H98" s="139"/>
      <c r="I98" s="139"/>
      <c r="J98" s="138"/>
      <c r="K98" s="138"/>
      <c r="L98" s="138"/>
      <c r="M98" s="138"/>
      <c r="N98" s="61"/>
    </row>
    <row r="99" spans="7:14" x14ac:dyDescent="0.3">
      <c r="G99" s="139"/>
      <c r="H99" s="139"/>
      <c r="I99" s="139"/>
      <c r="J99" s="138"/>
      <c r="K99" s="138"/>
      <c r="L99" s="138"/>
      <c r="M99" s="138"/>
      <c r="N99" s="61"/>
    </row>
    <row r="100" spans="7:14" x14ac:dyDescent="0.3">
      <c r="G100" s="139"/>
      <c r="H100" s="139"/>
      <c r="I100" s="139"/>
      <c r="J100" s="138"/>
      <c r="K100" s="138"/>
      <c r="L100" s="138"/>
      <c r="M100" s="138"/>
      <c r="N100" s="61"/>
    </row>
    <row r="101" spans="7:14" x14ac:dyDescent="0.3">
      <c r="G101" s="139"/>
      <c r="H101" s="139"/>
      <c r="I101" s="139"/>
      <c r="J101" s="138"/>
      <c r="K101" s="138"/>
      <c r="L101" s="138"/>
      <c r="M101" s="138"/>
      <c r="N101" s="61"/>
    </row>
    <row r="102" spans="7:14" x14ac:dyDescent="0.3">
      <c r="G102" s="139"/>
      <c r="H102" s="139"/>
      <c r="I102" s="139"/>
      <c r="J102" s="138"/>
      <c r="K102" s="138"/>
      <c r="L102" s="138"/>
      <c r="M102" s="138"/>
      <c r="N102" s="61"/>
    </row>
    <row r="103" spans="7:14" x14ac:dyDescent="0.3">
      <c r="G103" s="139"/>
      <c r="H103" s="139"/>
      <c r="I103" s="139"/>
      <c r="J103" s="138"/>
      <c r="K103" s="138"/>
      <c r="L103" s="138"/>
      <c r="M103" s="138"/>
      <c r="N103" s="61"/>
    </row>
    <row r="104" spans="7:14" x14ac:dyDescent="0.3">
      <c r="G104" s="139"/>
      <c r="H104" s="139"/>
      <c r="I104" s="139"/>
      <c r="J104" s="138"/>
      <c r="K104" s="138"/>
      <c r="L104" s="138"/>
      <c r="M104" s="138"/>
      <c r="N104" s="61"/>
    </row>
    <row r="105" spans="7:14" x14ac:dyDescent="0.3">
      <c r="G105" s="139"/>
      <c r="H105" s="139"/>
      <c r="I105" s="139"/>
      <c r="J105" s="138"/>
      <c r="K105" s="138"/>
      <c r="L105" s="138"/>
      <c r="M105" s="138"/>
      <c r="N105" s="61"/>
    </row>
    <row r="106" spans="7:14" x14ac:dyDescent="0.3">
      <c r="G106" s="139"/>
      <c r="H106" s="139"/>
      <c r="I106" s="139"/>
      <c r="J106" s="138"/>
      <c r="K106" s="138"/>
      <c r="L106" s="138"/>
      <c r="M106" s="138"/>
      <c r="N106" s="61"/>
    </row>
    <row r="107" spans="7:14" x14ac:dyDescent="0.3">
      <c r="G107" s="139"/>
      <c r="H107" s="139"/>
      <c r="I107" s="139"/>
      <c r="J107" s="138"/>
      <c r="K107" s="138"/>
      <c r="L107" s="138"/>
      <c r="M107" s="138"/>
      <c r="N107" s="61"/>
    </row>
    <row r="108" spans="7:14" x14ac:dyDescent="0.3">
      <c r="G108" s="139"/>
      <c r="H108" s="139"/>
      <c r="I108" s="139"/>
      <c r="J108" s="138"/>
      <c r="K108" s="138"/>
      <c r="L108" s="138"/>
      <c r="M108" s="138"/>
      <c r="N108" s="61"/>
    </row>
    <row r="109" spans="7:14" x14ac:dyDescent="0.3">
      <c r="G109" s="139"/>
      <c r="H109" s="139"/>
      <c r="I109" s="139"/>
      <c r="J109" s="138"/>
      <c r="K109" s="138"/>
      <c r="L109" s="138"/>
      <c r="M109" s="138"/>
      <c r="N109" s="61"/>
    </row>
    <row r="110" spans="7:14" x14ac:dyDescent="0.3">
      <c r="G110" s="139"/>
      <c r="H110" s="139"/>
      <c r="I110" s="139"/>
      <c r="J110" s="138"/>
      <c r="K110" s="138"/>
      <c r="L110" s="138"/>
      <c r="M110" s="138"/>
      <c r="N110" s="61"/>
    </row>
    <row r="111" spans="7:14" x14ac:dyDescent="0.3">
      <c r="G111" s="139"/>
      <c r="H111" s="139"/>
      <c r="I111" s="139"/>
      <c r="J111" s="138"/>
      <c r="K111" s="138"/>
      <c r="L111" s="138"/>
      <c r="M111" s="138"/>
      <c r="N111" s="61"/>
    </row>
    <row r="112" spans="7:14" x14ac:dyDescent="0.3">
      <c r="G112" s="139"/>
      <c r="H112" s="139"/>
      <c r="I112" s="139"/>
      <c r="J112" s="138"/>
      <c r="K112" s="138"/>
      <c r="L112" s="138"/>
      <c r="M112" s="138"/>
      <c r="N112" s="61"/>
    </row>
    <row r="113" spans="7:14" x14ac:dyDescent="0.3">
      <c r="G113" s="139"/>
      <c r="H113" s="139"/>
      <c r="I113" s="139"/>
      <c r="J113" s="138"/>
      <c r="K113" s="138"/>
      <c r="L113" s="138"/>
      <c r="M113" s="138"/>
      <c r="N113" s="61"/>
    </row>
    <row r="114" spans="7:14" x14ac:dyDescent="0.3">
      <c r="G114" s="139"/>
      <c r="H114" s="139"/>
      <c r="I114" s="139"/>
      <c r="J114" s="138"/>
      <c r="K114" s="138"/>
      <c r="L114" s="138"/>
      <c r="M114" s="138"/>
      <c r="N114" s="61"/>
    </row>
    <row r="115" spans="7:14" x14ac:dyDescent="0.3">
      <c r="G115" s="139"/>
      <c r="H115" s="139"/>
      <c r="I115" s="139"/>
      <c r="J115" s="138"/>
      <c r="K115" s="138"/>
      <c r="L115" s="138"/>
      <c r="M115" s="138"/>
      <c r="N115" s="61"/>
    </row>
    <row r="116" spans="7:14" x14ac:dyDescent="0.3">
      <c r="G116" s="139"/>
      <c r="H116" s="139"/>
      <c r="I116" s="139"/>
      <c r="J116" s="138"/>
      <c r="K116" s="138"/>
      <c r="L116" s="138"/>
      <c r="M116" s="138"/>
      <c r="N116" s="61"/>
    </row>
    <row r="117" spans="7:14" x14ac:dyDescent="0.3">
      <c r="G117" s="139"/>
      <c r="H117" s="139"/>
      <c r="I117" s="139"/>
      <c r="J117" s="138"/>
      <c r="K117" s="138"/>
      <c r="L117" s="138"/>
      <c r="M117" s="138"/>
      <c r="N117" s="61"/>
    </row>
    <row r="118" spans="7:14" x14ac:dyDescent="0.3">
      <c r="G118" s="139"/>
      <c r="H118" s="139"/>
      <c r="I118" s="139"/>
      <c r="J118" s="138"/>
      <c r="K118" s="138"/>
      <c r="L118" s="138"/>
      <c r="M118" s="138"/>
      <c r="N118" s="61"/>
    </row>
    <row r="119" spans="7:14" x14ac:dyDescent="0.3">
      <c r="G119" s="139"/>
      <c r="H119" s="139"/>
      <c r="I119" s="139"/>
      <c r="J119" s="138"/>
      <c r="K119" s="138"/>
      <c r="L119" s="138"/>
      <c r="M119" s="138"/>
      <c r="N119" s="61"/>
    </row>
    <row r="120" spans="7:14" x14ac:dyDescent="0.3">
      <c r="G120" s="139"/>
      <c r="H120" s="139"/>
      <c r="I120" s="139"/>
      <c r="J120" s="139"/>
      <c r="K120" s="139"/>
      <c r="L120" s="139"/>
      <c r="M120" s="139"/>
    </row>
    <row r="121" spans="7:14" x14ac:dyDescent="0.3">
      <c r="G121" s="139"/>
      <c r="H121" s="139"/>
      <c r="I121" s="139"/>
      <c r="J121" s="139"/>
      <c r="K121" s="139"/>
      <c r="L121" s="139"/>
      <c r="M121" s="139"/>
    </row>
    <row r="122" spans="7:14" x14ac:dyDescent="0.3">
      <c r="G122" s="139"/>
      <c r="H122" s="139"/>
      <c r="I122" s="139"/>
      <c r="J122" s="139"/>
      <c r="K122" s="139"/>
      <c r="L122" s="139"/>
      <c r="M122" s="139"/>
    </row>
    <row r="123" spans="7:14" x14ac:dyDescent="0.3">
      <c r="G123" s="139"/>
      <c r="H123" s="139"/>
      <c r="I123" s="139"/>
      <c r="J123" s="139"/>
      <c r="K123" s="139"/>
      <c r="L123" s="139"/>
      <c r="M123" s="139"/>
    </row>
    <row r="124" spans="7:14" x14ac:dyDescent="0.3">
      <c r="G124" s="139"/>
      <c r="H124" s="139"/>
      <c r="I124" s="139"/>
      <c r="J124" s="139"/>
      <c r="K124" s="139"/>
      <c r="L124" s="139"/>
      <c r="M124" s="139"/>
    </row>
    <row r="125" spans="7:14" x14ac:dyDescent="0.3">
      <c r="G125" s="139"/>
      <c r="H125" s="139"/>
      <c r="I125" s="139"/>
      <c r="J125" s="139"/>
      <c r="K125" s="139"/>
      <c r="L125" s="139"/>
      <c r="M125" s="139"/>
    </row>
    <row r="126" spans="7:14" x14ac:dyDescent="0.3">
      <c r="G126" s="139"/>
      <c r="H126" s="139"/>
      <c r="I126" s="139"/>
      <c r="J126" s="139"/>
      <c r="K126" s="139"/>
      <c r="L126" s="139"/>
      <c r="M126" s="139"/>
    </row>
    <row r="127" spans="7:14" x14ac:dyDescent="0.3">
      <c r="G127" s="139"/>
      <c r="H127" s="139"/>
      <c r="I127" s="139"/>
      <c r="J127" s="139"/>
      <c r="K127" s="139"/>
      <c r="L127" s="139"/>
      <c r="M127" s="139"/>
    </row>
    <row r="128" spans="7:14" x14ac:dyDescent="0.3">
      <c r="G128" s="139"/>
      <c r="H128" s="139"/>
      <c r="I128" s="139"/>
      <c r="J128" s="139"/>
      <c r="K128" s="139"/>
      <c r="L128" s="139"/>
      <c r="M128" s="139"/>
    </row>
    <row r="129" spans="7:13" x14ac:dyDescent="0.3">
      <c r="G129" s="139"/>
      <c r="H129" s="139"/>
      <c r="I129" s="139"/>
      <c r="J129" s="139"/>
      <c r="K129" s="139"/>
      <c r="L129" s="139"/>
      <c r="M129" s="139"/>
    </row>
    <row r="130" spans="7:13" x14ac:dyDescent="0.3">
      <c r="G130" s="139"/>
      <c r="H130" s="139"/>
      <c r="I130" s="139"/>
      <c r="J130" s="139"/>
      <c r="K130" s="139"/>
      <c r="L130" s="139"/>
      <c r="M130" s="139"/>
    </row>
    <row r="131" spans="7:13" x14ac:dyDescent="0.3">
      <c r="G131" s="139"/>
      <c r="H131" s="139"/>
      <c r="I131" s="139"/>
      <c r="J131" s="139"/>
      <c r="K131" s="139"/>
      <c r="L131" s="139"/>
      <c r="M131" s="139"/>
    </row>
    <row r="132" spans="7:13" x14ac:dyDescent="0.3">
      <c r="G132" s="139"/>
      <c r="H132" s="139"/>
      <c r="I132" s="139"/>
      <c r="J132" s="139"/>
      <c r="K132" s="139"/>
      <c r="L132" s="139"/>
      <c r="M132" s="139"/>
    </row>
    <row r="133" spans="7:13" x14ac:dyDescent="0.3">
      <c r="G133" s="139"/>
      <c r="H133" s="139"/>
      <c r="I133" s="139"/>
      <c r="J133" s="139"/>
      <c r="K133" s="139"/>
      <c r="L133" s="139"/>
      <c r="M133" s="139"/>
    </row>
    <row r="134" spans="7:13" x14ac:dyDescent="0.3">
      <c r="G134" s="139"/>
      <c r="H134" s="139"/>
      <c r="I134" s="139"/>
      <c r="J134" s="139"/>
      <c r="K134" s="139"/>
      <c r="L134" s="139"/>
      <c r="M134" s="139"/>
    </row>
    <row r="135" spans="7:13" x14ac:dyDescent="0.3">
      <c r="G135" s="139"/>
      <c r="H135" s="139"/>
      <c r="I135" s="139"/>
      <c r="J135" s="139"/>
      <c r="K135" s="139"/>
      <c r="L135" s="139"/>
      <c r="M135" s="139"/>
    </row>
    <row r="136" spans="7:13" x14ac:dyDescent="0.3">
      <c r="G136" s="139"/>
      <c r="H136" s="139"/>
      <c r="I136" s="139"/>
      <c r="J136" s="139"/>
      <c r="K136" s="139"/>
      <c r="L136" s="139"/>
      <c r="M136" s="139"/>
    </row>
    <row r="137" spans="7:13" x14ac:dyDescent="0.3">
      <c r="G137" s="139"/>
      <c r="H137" s="139"/>
      <c r="I137" s="139"/>
      <c r="J137" s="139"/>
      <c r="K137" s="139"/>
      <c r="L137" s="139"/>
      <c r="M137" s="139"/>
    </row>
    <row r="138" spans="7:13" x14ac:dyDescent="0.3">
      <c r="G138" s="139"/>
      <c r="H138" s="139"/>
      <c r="I138" s="139"/>
      <c r="J138" s="139"/>
      <c r="K138" s="139"/>
      <c r="L138" s="139"/>
      <c r="M138" s="139"/>
    </row>
    <row r="139" spans="7:13" x14ac:dyDescent="0.3">
      <c r="G139" s="139"/>
      <c r="H139" s="139"/>
      <c r="I139" s="139"/>
      <c r="J139" s="139"/>
      <c r="K139" s="139"/>
      <c r="L139" s="139"/>
      <c r="M139" s="139"/>
    </row>
    <row r="140" spans="7:13" x14ac:dyDescent="0.3">
      <c r="G140" s="139"/>
      <c r="H140" s="139"/>
      <c r="I140" s="139"/>
      <c r="J140" s="139"/>
      <c r="K140" s="139"/>
      <c r="L140" s="139"/>
      <c r="M140" s="139"/>
    </row>
    <row r="141" spans="7:13" x14ac:dyDescent="0.3">
      <c r="G141" s="139"/>
      <c r="H141" s="139"/>
      <c r="I141" s="139"/>
      <c r="J141" s="139"/>
      <c r="K141" s="139"/>
      <c r="L141" s="139"/>
      <c r="M141" s="139"/>
    </row>
    <row r="142" spans="7:13" x14ac:dyDescent="0.3">
      <c r="G142" s="139"/>
      <c r="H142" s="139"/>
      <c r="I142" s="139"/>
      <c r="J142" s="139"/>
      <c r="K142" s="139"/>
      <c r="L142" s="139"/>
      <c r="M142" s="139"/>
    </row>
    <row r="143" spans="7:13" x14ac:dyDescent="0.3">
      <c r="G143" s="139"/>
      <c r="H143" s="139"/>
      <c r="I143" s="139"/>
      <c r="J143" s="139"/>
      <c r="K143" s="139"/>
      <c r="L143" s="139"/>
      <c r="M143" s="139"/>
    </row>
    <row r="144" spans="7:13" x14ac:dyDescent="0.3">
      <c r="G144" s="139"/>
      <c r="H144" s="139"/>
      <c r="I144" s="139"/>
      <c r="J144" s="139"/>
      <c r="K144" s="139"/>
      <c r="L144" s="139"/>
      <c r="M144" s="139"/>
    </row>
    <row r="145" spans="7:13" x14ac:dyDescent="0.3">
      <c r="G145" s="139"/>
      <c r="H145" s="139"/>
      <c r="I145" s="139"/>
      <c r="J145" s="139"/>
      <c r="K145" s="139"/>
      <c r="L145" s="139"/>
      <c r="M145" s="139"/>
    </row>
    <row r="146" spans="7:13" x14ac:dyDescent="0.3">
      <c r="G146" s="139"/>
      <c r="H146" s="139"/>
      <c r="I146" s="139"/>
      <c r="J146" s="139"/>
      <c r="K146" s="139"/>
      <c r="L146" s="139"/>
      <c r="M146" s="139"/>
    </row>
    <row r="147" spans="7:13" x14ac:dyDescent="0.3">
      <c r="G147" s="139"/>
      <c r="H147" s="139"/>
      <c r="I147" s="139"/>
      <c r="J147" s="139"/>
      <c r="K147" s="139"/>
      <c r="L147" s="139"/>
      <c r="M147" s="139"/>
    </row>
    <row r="148" spans="7:13" x14ac:dyDescent="0.3">
      <c r="G148" s="139"/>
      <c r="H148" s="139"/>
      <c r="I148" s="139"/>
      <c r="J148" s="139"/>
      <c r="K148" s="139"/>
      <c r="L148" s="139"/>
      <c r="M148" s="139"/>
    </row>
    <row r="149" spans="7:13" x14ac:dyDescent="0.3">
      <c r="G149" s="139"/>
      <c r="H149" s="139"/>
      <c r="I149" s="139"/>
      <c r="J149" s="139"/>
      <c r="K149" s="139"/>
      <c r="L149" s="139"/>
      <c r="M149" s="139"/>
    </row>
    <row r="150" spans="7:13" x14ac:dyDescent="0.3">
      <c r="G150" s="139"/>
      <c r="H150" s="139"/>
      <c r="I150" s="139"/>
      <c r="J150" s="139"/>
      <c r="K150" s="139"/>
      <c r="L150" s="139"/>
      <c r="M150" s="139"/>
    </row>
    <row r="151" spans="7:13" x14ac:dyDescent="0.3">
      <c r="G151" s="139"/>
      <c r="H151" s="139"/>
      <c r="I151" s="139"/>
      <c r="J151" s="139"/>
      <c r="K151" s="139"/>
      <c r="L151" s="139"/>
      <c r="M151" s="139"/>
    </row>
    <row r="152" spans="7:13" x14ac:dyDescent="0.3">
      <c r="G152" s="139"/>
      <c r="H152" s="139"/>
      <c r="I152" s="139"/>
      <c r="J152" s="139"/>
      <c r="K152" s="139"/>
      <c r="L152" s="139"/>
      <c r="M152" s="139"/>
    </row>
    <row r="153" spans="7:13" x14ac:dyDescent="0.3">
      <c r="G153" s="139"/>
      <c r="H153" s="139"/>
      <c r="I153" s="139"/>
      <c r="J153" s="139"/>
      <c r="K153" s="139"/>
      <c r="L153" s="139"/>
      <c r="M153" s="139"/>
    </row>
    <row r="154" spans="7:13" x14ac:dyDescent="0.3">
      <c r="G154" s="139"/>
      <c r="H154" s="139"/>
      <c r="I154" s="139"/>
      <c r="J154" s="139"/>
      <c r="K154" s="139"/>
      <c r="L154" s="139"/>
      <c r="M154" s="139"/>
    </row>
    <row r="155" spans="7:13" x14ac:dyDescent="0.3">
      <c r="G155" s="139"/>
      <c r="H155" s="139"/>
      <c r="I155" s="139"/>
      <c r="J155" s="139"/>
      <c r="K155" s="139"/>
      <c r="L155" s="139"/>
      <c r="M155" s="139"/>
    </row>
    <row r="156" spans="7:13" x14ac:dyDescent="0.3">
      <c r="G156" s="139"/>
      <c r="H156" s="139"/>
      <c r="I156" s="139"/>
      <c r="J156" s="139"/>
      <c r="K156" s="139"/>
      <c r="L156" s="139"/>
      <c r="M156" s="139"/>
    </row>
    <row r="157" spans="7:13" x14ac:dyDescent="0.3">
      <c r="G157" s="139"/>
      <c r="H157" s="139"/>
      <c r="I157" s="139"/>
      <c r="J157" s="139"/>
      <c r="K157" s="139"/>
      <c r="L157" s="139"/>
      <c r="M157" s="139"/>
    </row>
    <row r="158" spans="7:13" x14ac:dyDescent="0.3">
      <c r="G158" s="139"/>
      <c r="H158" s="139"/>
      <c r="I158" s="139"/>
      <c r="J158" s="139"/>
      <c r="K158" s="139"/>
      <c r="L158" s="139"/>
      <c r="M158" s="139"/>
    </row>
    <row r="159" spans="7:13" x14ac:dyDescent="0.3">
      <c r="G159" s="139"/>
      <c r="H159" s="139"/>
      <c r="I159" s="139"/>
      <c r="J159" s="139"/>
      <c r="K159" s="139"/>
      <c r="L159" s="139"/>
      <c r="M159" s="139"/>
    </row>
    <row r="160" spans="7:13" x14ac:dyDescent="0.3">
      <c r="G160" s="139"/>
      <c r="H160" s="139"/>
      <c r="I160" s="139"/>
      <c r="J160" s="139"/>
      <c r="K160" s="139"/>
      <c r="L160" s="139"/>
      <c r="M160" s="139"/>
    </row>
    <row r="161" spans="7:13" x14ac:dyDescent="0.3">
      <c r="G161" s="139"/>
      <c r="H161" s="139"/>
      <c r="I161" s="139"/>
      <c r="J161" s="139"/>
      <c r="K161" s="139"/>
      <c r="L161" s="139"/>
      <c r="M161" s="139"/>
    </row>
    <row r="162" spans="7:13" x14ac:dyDescent="0.3">
      <c r="G162" s="139"/>
      <c r="H162" s="139"/>
      <c r="I162" s="139"/>
      <c r="J162" s="139"/>
      <c r="K162" s="139"/>
      <c r="L162" s="139"/>
      <c r="M162" s="139"/>
    </row>
    <row r="163" spans="7:13" x14ac:dyDescent="0.3">
      <c r="G163" s="139"/>
      <c r="H163" s="139"/>
      <c r="I163" s="139"/>
      <c r="J163" s="139"/>
      <c r="K163" s="139"/>
      <c r="L163" s="139"/>
      <c r="M163" s="139"/>
    </row>
    <row r="164" spans="7:13" x14ac:dyDescent="0.3">
      <c r="G164" s="139"/>
      <c r="H164" s="139"/>
      <c r="I164" s="139"/>
      <c r="J164" s="139"/>
      <c r="K164" s="139"/>
      <c r="L164" s="139"/>
      <c r="M164" s="139"/>
    </row>
    <row r="165" spans="7:13" x14ac:dyDescent="0.3">
      <c r="G165" s="139"/>
      <c r="H165" s="139"/>
      <c r="I165" s="139"/>
      <c r="J165" s="139"/>
      <c r="K165" s="139"/>
      <c r="L165" s="139"/>
      <c r="M165" s="139"/>
    </row>
    <row r="166" spans="7:13" x14ac:dyDescent="0.3">
      <c r="G166" s="139"/>
      <c r="H166" s="139"/>
      <c r="I166" s="139"/>
      <c r="J166" s="139"/>
      <c r="K166" s="139"/>
      <c r="L166" s="139"/>
      <c r="M166" s="139"/>
    </row>
    <row r="167" spans="7:13" x14ac:dyDescent="0.3">
      <c r="G167" s="139"/>
      <c r="H167" s="139"/>
      <c r="I167" s="139"/>
      <c r="J167" s="139"/>
      <c r="K167" s="139"/>
      <c r="L167" s="139"/>
      <c r="M167" s="139"/>
    </row>
    <row r="168" spans="7:13" x14ac:dyDescent="0.3">
      <c r="G168" s="139"/>
      <c r="H168" s="139"/>
      <c r="I168" s="139"/>
      <c r="J168" s="139"/>
      <c r="K168" s="139"/>
      <c r="L168" s="139"/>
      <c r="M168" s="139"/>
    </row>
    <row r="169" spans="7:13" x14ac:dyDescent="0.3">
      <c r="G169" s="139"/>
      <c r="H169" s="139"/>
      <c r="I169" s="139"/>
      <c r="J169" s="139"/>
      <c r="K169" s="139"/>
      <c r="L169" s="139"/>
      <c r="M169" s="139"/>
    </row>
    <row r="170" spans="7:13" x14ac:dyDescent="0.3">
      <c r="G170" s="139"/>
      <c r="H170" s="139"/>
      <c r="I170" s="139"/>
      <c r="J170" s="139"/>
      <c r="K170" s="139"/>
      <c r="L170" s="139"/>
      <c r="M170" s="139"/>
    </row>
    <row r="171" spans="7:13" x14ac:dyDescent="0.3">
      <c r="G171" s="139"/>
      <c r="H171" s="139"/>
      <c r="I171" s="139"/>
      <c r="J171" s="139"/>
      <c r="K171" s="139"/>
      <c r="L171" s="139"/>
      <c r="M171" s="139"/>
    </row>
    <row r="172" spans="7:13" x14ac:dyDescent="0.3">
      <c r="G172" s="139"/>
      <c r="H172" s="139"/>
      <c r="I172" s="139"/>
      <c r="J172" s="139"/>
      <c r="K172" s="139"/>
      <c r="L172" s="139"/>
      <c r="M172" s="139"/>
    </row>
    <row r="173" spans="7:13" x14ac:dyDescent="0.3">
      <c r="G173" s="139"/>
      <c r="H173" s="139"/>
      <c r="I173" s="139"/>
      <c r="J173" s="139"/>
      <c r="K173" s="139"/>
      <c r="L173" s="139"/>
      <c r="M173" s="139"/>
    </row>
    <row r="174" spans="7:13" x14ac:dyDescent="0.3">
      <c r="G174" s="139"/>
      <c r="H174" s="139"/>
      <c r="I174" s="139"/>
      <c r="J174" s="139"/>
      <c r="K174" s="139"/>
      <c r="L174" s="139"/>
      <c r="M174" s="139"/>
    </row>
    <row r="175" spans="7:13" x14ac:dyDescent="0.3">
      <c r="G175" s="139"/>
      <c r="H175" s="139"/>
      <c r="I175" s="139"/>
      <c r="J175" s="139"/>
      <c r="K175" s="139"/>
      <c r="L175" s="139"/>
      <c r="M175" s="139"/>
    </row>
    <row r="176" spans="7:13" x14ac:dyDescent="0.3">
      <c r="G176" s="139"/>
      <c r="H176" s="139"/>
      <c r="I176" s="139"/>
      <c r="J176" s="139"/>
      <c r="K176" s="139"/>
      <c r="L176" s="139"/>
      <c r="M176" s="139"/>
    </row>
    <row r="177" spans="7:13" x14ac:dyDescent="0.3">
      <c r="G177" s="139"/>
      <c r="H177" s="139"/>
      <c r="I177" s="139"/>
      <c r="J177" s="139"/>
      <c r="K177" s="139"/>
      <c r="L177" s="139"/>
      <c r="M177" s="139"/>
    </row>
    <row r="178" spans="7:13" x14ac:dyDescent="0.3">
      <c r="G178" s="139"/>
      <c r="H178" s="139"/>
      <c r="I178" s="139"/>
      <c r="J178" s="139"/>
      <c r="K178" s="139"/>
      <c r="L178" s="139"/>
      <c r="M178" s="139"/>
    </row>
    <row r="179" spans="7:13" x14ac:dyDescent="0.3">
      <c r="G179" s="139"/>
      <c r="H179" s="139"/>
      <c r="I179" s="139"/>
      <c r="J179" s="139"/>
      <c r="K179" s="139"/>
      <c r="L179" s="139"/>
      <c r="M179" s="139"/>
    </row>
    <row r="180" spans="7:13" x14ac:dyDescent="0.3">
      <c r="G180" s="139"/>
      <c r="H180" s="139"/>
      <c r="I180" s="139"/>
      <c r="J180" s="139"/>
      <c r="K180" s="139"/>
      <c r="L180" s="139"/>
      <c r="M180" s="139"/>
    </row>
    <row r="181" spans="7:13" x14ac:dyDescent="0.3">
      <c r="G181" s="139"/>
      <c r="H181" s="139"/>
      <c r="I181" s="139"/>
      <c r="J181" s="139"/>
      <c r="K181" s="139"/>
      <c r="L181" s="139"/>
      <c r="M181" s="139"/>
    </row>
    <row r="182" spans="7:13" x14ac:dyDescent="0.3">
      <c r="G182" s="139"/>
      <c r="H182" s="139"/>
      <c r="I182" s="139"/>
      <c r="J182" s="139"/>
      <c r="K182" s="139"/>
      <c r="L182" s="139"/>
      <c r="M182" s="139"/>
    </row>
    <row r="183" spans="7:13" x14ac:dyDescent="0.3">
      <c r="G183" s="139"/>
      <c r="H183" s="139"/>
      <c r="I183" s="139"/>
      <c r="J183" s="139"/>
      <c r="K183" s="139"/>
      <c r="L183" s="139"/>
      <c r="M183" s="139"/>
    </row>
    <row r="184" spans="7:13" x14ac:dyDescent="0.3">
      <c r="G184" s="139"/>
      <c r="H184" s="139"/>
      <c r="I184" s="139"/>
      <c r="J184" s="139"/>
      <c r="K184" s="139"/>
      <c r="L184" s="139"/>
      <c r="M184" s="139"/>
    </row>
    <row r="185" spans="7:13" x14ac:dyDescent="0.3">
      <c r="G185" s="139"/>
      <c r="H185" s="139"/>
      <c r="I185" s="139"/>
      <c r="J185" s="139"/>
      <c r="K185" s="139"/>
      <c r="L185" s="139"/>
      <c r="M185" s="139"/>
    </row>
    <row r="186" spans="7:13" x14ac:dyDescent="0.3">
      <c r="G186" s="139"/>
      <c r="H186" s="139"/>
      <c r="I186" s="139"/>
      <c r="J186" s="139"/>
      <c r="K186" s="139"/>
      <c r="L186" s="139"/>
      <c r="M186" s="139"/>
    </row>
    <row r="187" spans="7:13" x14ac:dyDescent="0.3">
      <c r="G187" s="139"/>
      <c r="H187" s="139"/>
      <c r="I187" s="139"/>
      <c r="J187" s="139"/>
      <c r="K187" s="139"/>
      <c r="L187" s="139"/>
      <c r="M187" s="139"/>
    </row>
    <row r="188" spans="7:13" x14ac:dyDescent="0.3">
      <c r="G188" s="139"/>
      <c r="H188" s="139"/>
      <c r="I188" s="139"/>
      <c r="J188" s="139"/>
      <c r="K188" s="139"/>
      <c r="L188" s="139"/>
      <c r="M188" s="139"/>
    </row>
    <row r="189" spans="7:13" x14ac:dyDescent="0.3">
      <c r="G189" s="139"/>
      <c r="H189" s="139"/>
      <c r="I189" s="139"/>
      <c r="J189" s="139"/>
      <c r="K189" s="139"/>
      <c r="L189" s="139"/>
      <c r="M189" s="139"/>
    </row>
    <row r="190" spans="7:13" x14ac:dyDescent="0.3">
      <c r="G190" s="139"/>
      <c r="H190" s="139"/>
      <c r="I190" s="139"/>
      <c r="J190" s="139"/>
      <c r="K190" s="139"/>
      <c r="L190" s="139"/>
      <c r="M190" s="139"/>
    </row>
    <row r="191" spans="7:13" x14ac:dyDescent="0.3">
      <c r="G191" s="139"/>
      <c r="H191" s="139"/>
      <c r="I191" s="139"/>
      <c r="J191" s="139"/>
      <c r="K191" s="139"/>
      <c r="L191" s="139"/>
      <c r="M191" s="139"/>
    </row>
    <row r="192" spans="7:13" x14ac:dyDescent="0.3">
      <c r="G192" s="139"/>
      <c r="H192" s="139"/>
      <c r="I192" s="139"/>
      <c r="J192" s="139"/>
      <c r="K192" s="139"/>
      <c r="L192" s="139"/>
      <c r="M192" s="139"/>
    </row>
    <row r="193" spans="7:13" x14ac:dyDescent="0.3">
      <c r="G193" s="139"/>
      <c r="H193" s="139"/>
      <c r="I193" s="139"/>
      <c r="J193" s="139"/>
      <c r="K193" s="139"/>
      <c r="L193" s="139"/>
      <c r="M193" s="139"/>
    </row>
    <row r="194" spans="7:13" x14ac:dyDescent="0.3">
      <c r="G194" s="139"/>
      <c r="H194" s="139"/>
      <c r="I194" s="139"/>
      <c r="J194" s="139"/>
      <c r="K194" s="139"/>
      <c r="L194" s="139"/>
      <c r="M194" s="139"/>
    </row>
    <row r="195" spans="7:13" x14ac:dyDescent="0.3">
      <c r="G195" s="139"/>
      <c r="H195" s="139"/>
      <c r="I195" s="139"/>
      <c r="J195" s="139"/>
      <c r="K195" s="139"/>
      <c r="L195" s="139"/>
      <c r="M195" s="139"/>
    </row>
    <row r="196" spans="7:13" x14ac:dyDescent="0.3">
      <c r="G196" s="139"/>
      <c r="H196" s="139"/>
      <c r="I196" s="139"/>
      <c r="J196" s="139"/>
      <c r="K196" s="139"/>
      <c r="L196" s="139"/>
      <c r="M196" s="139"/>
    </row>
    <row r="197" spans="7:13" x14ac:dyDescent="0.3">
      <c r="G197" s="139"/>
      <c r="H197" s="139"/>
      <c r="I197" s="139"/>
      <c r="J197" s="139"/>
      <c r="K197" s="139"/>
      <c r="L197" s="139"/>
      <c r="M197" s="139"/>
    </row>
    <row r="198" spans="7:13" x14ac:dyDescent="0.3">
      <c r="G198" s="139"/>
      <c r="H198" s="139"/>
      <c r="I198" s="139"/>
      <c r="J198" s="139"/>
      <c r="K198" s="139"/>
      <c r="L198" s="139"/>
      <c r="M198" s="139"/>
    </row>
    <row r="199" spans="7:13" x14ac:dyDescent="0.3">
      <c r="G199" s="139"/>
      <c r="H199" s="139"/>
      <c r="I199" s="139"/>
      <c r="J199" s="139"/>
      <c r="K199" s="139"/>
      <c r="L199" s="139"/>
      <c r="M199" s="139"/>
    </row>
    <row r="200" spans="7:13" x14ac:dyDescent="0.3">
      <c r="G200" s="139"/>
      <c r="H200" s="139"/>
      <c r="I200" s="139"/>
      <c r="J200" s="139"/>
      <c r="K200" s="139"/>
      <c r="L200" s="139"/>
      <c r="M200" s="139"/>
    </row>
    <row r="201" spans="7:13" x14ac:dyDescent="0.3">
      <c r="G201" s="139"/>
      <c r="H201" s="139"/>
      <c r="I201" s="139"/>
      <c r="J201" s="139"/>
      <c r="K201" s="139"/>
      <c r="L201" s="139"/>
      <c r="M201" s="139"/>
    </row>
    <row r="202" spans="7:13" x14ac:dyDescent="0.3">
      <c r="G202" s="139"/>
      <c r="H202" s="139"/>
      <c r="I202" s="139"/>
      <c r="J202" s="139"/>
      <c r="K202" s="139"/>
      <c r="L202" s="139"/>
      <c r="M202" s="139"/>
    </row>
    <row r="203" spans="7:13" x14ac:dyDescent="0.3">
      <c r="G203" s="139"/>
      <c r="H203" s="139"/>
      <c r="I203" s="139"/>
      <c r="J203" s="139"/>
      <c r="K203" s="139"/>
      <c r="L203" s="139"/>
      <c r="M203" s="139"/>
    </row>
    <row r="204" spans="7:13" x14ac:dyDescent="0.3">
      <c r="G204" s="139"/>
      <c r="H204" s="139"/>
      <c r="I204" s="139"/>
      <c r="J204" s="139"/>
      <c r="K204" s="139"/>
      <c r="L204" s="139"/>
      <c r="M204" s="139"/>
    </row>
    <row r="205" spans="7:13" x14ac:dyDescent="0.3">
      <c r="G205" s="139"/>
      <c r="H205" s="139"/>
      <c r="I205" s="139"/>
      <c r="J205" s="139"/>
      <c r="K205" s="139"/>
      <c r="L205" s="139"/>
      <c r="M205" s="139"/>
    </row>
    <row r="206" spans="7:13" x14ac:dyDescent="0.3">
      <c r="G206" s="139"/>
      <c r="H206" s="139"/>
      <c r="I206" s="139"/>
      <c r="J206" s="139"/>
      <c r="K206" s="139"/>
      <c r="L206" s="139"/>
      <c r="M206" s="139"/>
    </row>
    <row r="207" spans="7:13" x14ac:dyDescent="0.3">
      <c r="G207" s="139"/>
      <c r="H207" s="139"/>
      <c r="I207" s="139"/>
      <c r="J207" s="139"/>
      <c r="K207" s="139"/>
      <c r="L207" s="139"/>
      <c r="M207" s="139"/>
    </row>
    <row r="208" spans="7:13" x14ac:dyDescent="0.3">
      <c r="G208" s="139"/>
      <c r="H208" s="139"/>
      <c r="I208" s="139"/>
      <c r="J208" s="139"/>
      <c r="K208" s="139"/>
      <c r="L208" s="139"/>
      <c r="M208" s="139"/>
    </row>
    <row r="209" spans="7:13" x14ac:dyDescent="0.3">
      <c r="G209" s="139"/>
      <c r="H209" s="139"/>
      <c r="I209" s="139"/>
      <c r="J209" s="139"/>
      <c r="K209" s="139"/>
      <c r="L209" s="139"/>
      <c r="M209" s="139"/>
    </row>
    <row r="210" spans="7:13" x14ac:dyDescent="0.3">
      <c r="G210" s="139"/>
      <c r="H210" s="139"/>
      <c r="I210" s="139"/>
      <c r="J210" s="139"/>
      <c r="K210" s="139"/>
      <c r="L210" s="139"/>
      <c r="M210" s="139"/>
    </row>
    <row r="211" spans="7:13" x14ac:dyDescent="0.3">
      <c r="G211" s="139"/>
      <c r="H211" s="139"/>
      <c r="I211" s="139"/>
      <c r="J211" s="139"/>
      <c r="K211" s="139"/>
      <c r="L211" s="139"/>
      <c r="M211" s="139"/>
    </row>
    <row r="212" spans="7:13" x14ac:dyDescent="0.3">
      <c r="G212" s="139"/>
      <c r="H212" s="139"/>
      <c r="I212" s="139"/>
      <c r="J212" s="139"/>
      <c r="K212" s="139"/>
      <c r="L212" s="139"/>
      <c r="M212" s="139"/>
    </row>
    <row r="213" spans="7:13" x14ac:dyDescent="0.3">
      <c r="G213" s="139"/>
      <c r="H213" s="139"/>
      <c r="I213" s="139"/>
      <c r="J213" s="139"/>
      <c r="K213" s="139"/>
      <c r="L213" s="139"/>
      <c r="M213" s="139"/>
    </row>
    <row r="214" spans="7:13" x14ac:dyDescent="0.3">
      <c r="G214" s="139"/>
      <c r="H214" s="139"/>
      <c r="I214" s="139"/>
      <c r="J214" s="139"/>
      <c r="K214" s="139"/>
      <c r="L214" s="139"/>
      <c r="M214" s="139"/>
    </row>
    <row r="215" spans="7:13" x14ac:dyDescent="0.3">
      <c r="G215" s="139"/>
      <c r="H215" s="139"/>
      <c r="I215" s="139"/>
      <c r="J215" s="139"/>
      <c r="K215" s="139"/>
      <c r="L215" s="139"/>
      <c r="M215" s="139"/>
    </row>
    <row r="216" spans="7:13" x14ac:dyDescent="0.3">
      <c r="G216" s="139"/>
      <c r="H216" s="139"/>
      <c r="I216" s="139"/>
      <c r="J216" s="139"/>
      <c r="K216" s="139"/>
      <c r="L216" s="139"/>
      <c r="M216" s="139"/>
    </row>
    <row r="217" spans="7:13" x14ac:dyDescent="0.3">
      <c r="G217" s="139"/>
      <c r="H217" s="139"/>
      <c r="I217" s="139"/>
      <c r="J217" s="139"/>
      <c r="K217" s="139"/>
      <c r="L217" s="139"/>
      <c r="M217" s="139"/>
    </row>
    <row r="218" spans="7:13" x14ac:dyDescent="0.3">
      <c r="G218" s="139"/>
      <c r="H218" s="139"/>
      <c r="I218" s="139"/>
      <c r="J218" s="139"/>
      <c r="K218" s="139"/>
      <c r="L218" s="139"/>
      <c r="M218" s="139"/>
    </row>
    <row r="219" spans="7:13" x14ac:dyDescent="0.3">
      <c r="G219" s="139"/>
      <c r="H219" s="139"/>
      <c r="I219" s="139"/>
      <c r="J219" s="139"/>
      <c r="K219" s="139"/>
      <c r="L219" s="139"/>
      <c r="M219" s="139"/>
    </row>
    <row r="220" spans="7:13" x14ac:dyDescent="0.3">
      <c r="G220" s="139"/>
      <c r="H220" s="139"/>
      <c r="I220" s="139"/>
      <c r="J220" s="139"/>
      <c r="K220" s="139"/>
      <c r="L220" s="139"/>
      <c r="M220" s="139"/>
    </row>
    <row r="221" spans="7:13" x14ac:dyDescent="0.3">
      <c r="G221" s="139"/>
      <c r="H221" s="139"/>
      <c r="I221" s="139"/>
      <c r="J221" s="139"/>
      <c r="K221" s="139"/>
      <c r="L221" s="139"/>
      <c r="M221" s="139"/>
    </row>
    <row r="222" spans="7:13" x14ac:dyDescent="0.3">
      <c r="G222" s="139"/>
      <c r="H222" s="139"/>
      <c r="I222" s="139"/>
      <c r="J222" s="139"/>
      <c r="K222" s="139"/>
      <c r="L222" s="139"/>
      <c r="M222" s="139"/>
    </row>
    <row r="223" spans="7:13" x14ac:dyDescent="0.3">
      <c r="G223" s="139"/>
      <c r="H223" s="139"/>
      <c r="I223" s="139"/>
      <c r="J223" s="139"/>
      <c r="K223" s="139"/>
      <c r="L223" s="139"/>
      <c r="M223" s="139"/>
    </row>
    <row r="224" spans="7:13" x14ac:dyDescent="0.3">
      <c r="G224" s="139"/>
      <c r="H224" s="139"/>
      <c r="I224" s="139"/>
      <c r="J224" s="139"/>
      <c r="K224" s="139"/>
      <c r="L224" s="139"/>
      <c r="M224" s="139"/>
    </row>
    <row r="225" spans="7:13" x14ac:dyDescent="0.3">
      <c r="G225" s="139"/>
      <c r="H225" s="139"/>
      <c r="I225" s="139"/>
      <c r="J225" s="139"/>
      <c r="K225" s="139"/>
      <c r="L225" s="139"/>
      <c r="M225" s="139"/>
    </row>
    <row r="226" spans="7:13" x14ac:dyDescent="0.3">
      <c r="G226" s="139"/>
      <c r="H226" s="139"/>
      <c r="I226" s="139"/>
      <c r="J226" s="139"/>
      <c r="K226" s="139"/>
      <c r="L226" s="139"/>
      <c r="M226" s="139"/>
    </row>
    <row r="227" spans="7:13" x14ac:dyDescent="0.3">
      <c r="G227" s="139"/>
      <c r="H227" s="139"/>
      <c r="I227" s="139"/>
      <c r="J227" s="139"/>
      <c r="K227" s="139"/>
      <c r="L227" s="139"/>
      <c r="M227" s="139"/>
    </row>
    <row r="228" spans="7:13" x14ac:dyDescent="0.3">
      <c r="G228" s="139"/>
      <c r="H228" s="139"/>
      <c r="I228" s="139"/>
      <c r="J228" s="139"/>
      <c r="K228" s="139"/>
      <c r="L228" s="139"/>
      <c r="M228" s="139"/>
    </row>
    <row r="229" spans="7:13" x14ac:dyDescent="0.3">
      <c r="G229" s="139"/>
      <c r="H229" s="139"/>
      <c r="I229" s="139"/>
      <c r="J229" s="139"/>
      <c r="K229" s="139"/>
      <c r="L229" s="139"/>
      <c r="M229" s="139"/>
    </row>
    <row r="230" spans="7:13" x14ac:dyDescent="0.3">
      <c r="G230" s="139"/>
      <c r="H230" s="139"/>
      <c r="I230" s="139"/>
      <c r="J230" s="139"/>
      <c r="K230" s="139"/>
      <c r="L230" s="139"/>
      <c r="M230" s="139"/>
    </row>
    <row r="231" spans="7:13" x14ac:dyDescent="0.3">
      <c r="G231" s="139"/>
      <c r="H231" s="139"/>
      <c r="I231" s="139"/>
      <c r="J231" s="139"/>
      <c r="K231" s="139"/>
      <c r="L231" s="139"/>
      <c r="M231" s="139"/>
    </row>
    <row r="232" spans="7:13" x14ac:dyDescent="0.3">
      <c r="G232" s="139"/>
      <c r="H232" s="139"/>
      <c r="I232" s="139"/>
      <c r="J232" s="139"/>
      <c r="K232" s="139"/>
      <c r="L232" s="139"/>
      <c r="M232" s="139"/>
    </row>
    <row r="233" spans="7:13" x14ac:dyDescent="0.3">
      <c r="G233" s="139"/>
      <c r="H233" s="139"/>
      <c r="I233" s="139"/>
      <c r="J233" s="139"/>
      <c r="K233" s="139"/>
      <c r="L233" s="139"/>
      <c r="M233" s="139"/>
    </row>
    <row r="234" spans="7:13" x14ac:dyDescent="0.3">
      <c r="G234" s="139"/>
      <c r="H234" s="139"/>
      <c r="I234" s="139"/>
      <c r="J234" s="139"/>
      <c r="K234" s="139"/>
      <c r="L234" s="139"/>
      <c r="M234" s="139"/>
    </row>
    <row r="235" spans="7:13" x14ac:dyDescent="0.3">
      <c r="G235" s="139"/>
      <c r="H235" s="139"/>
      <c r="I235" s="139"/>
      <c r="J235" s="139"/>
      <c r="K235" s="139"/>
      <c r="L235" s="139"/>
      <c r="M235" s="139"/>
    </row>
    <row r="236" spans="7:13" x14ac:dyDescent="0.3">
      <c r="G236" s="139"/>
      <c r="H236" s="139"/>
      <c r="I236" s="139"/>
      <c r="J236" s="139"/>
      <c r="K236" s="139"/>
      <c r="L236" s="139"/>
      <c r="M236" s="139"/>
    </row>
    <row r="237" spans="7:13" x14ac:dyDescent="0.3">
      <c r="G237" s="139"/>
      <c r="H237" s="139"/>
      <c r="I237" s="139"/>
      <c r="J237" s="139"/>
      <c r="K237" s="139"/>
      <c r="L237" s="139"/>
      <c r="M237" s="139"/>
    </row>
    <row r="238" spans="7:13" x14ac:dyDescent="0.3">
      <c r="G238" s="139"/>
      <c r="H238" s="139"/>
      <c r="I238" s="139"/>
      <c r="J238" s="139"/>
      <c r="K238" s="139"/>
      <c r="L238" s="139"/>
      <c r="M238" s="139"/>
    </row>
    <row r="239" spans="7:13" x14ac:dyDescent="0.3">
      <c r="G239" s="139"/>
      <c r="H239" s="139"/>
      <c r="I239" s="139"/>
      <c r="J239" s="139"/>
      <c r="K239" s="139"/>
      <c r="L239" s="139"/>
      <c r="M239" s="139"/>
    </row>
    <row r="240" spans="7:13" x14ac:dyDescent="0.3">
      <c r="G240" s="139"/>
      <c r="H240" s="139"/>
      <c r="I240" s="139"/>
      <c r="J240" s="139"/>
      <c r="K240" s="139"/>
      <c r="L240" s="139"/>
      <c r="M240" s="139"/>
    </row>
    <row r="241" spans="7:13" x14ac:dyDescent="0.3">
      <c r="G241" s="139"/>
      <c r="H241" s="139"/>
      <c r="I241" s="139"/>
      <c r="J241" s="139"/>
      <c r="K241" s="139"/>
      <c r="L241" s="139"/>
      <c r="M241" s="139"/>
    </row>
    <row r="242" spans="7:13" x14ac:dyDescent="0.3">
      <c r="G242" s="139"/>
      <c r="H242" s="139"/>
      <c r="I242" s="139"/>
      <c r="J242" s="139"/>
      <c r="K242" s="139"/>
      <c r="L242" s="139"/>
      <c r="M242" s="139"/>
    </row>
    <row r="243" spans="7:13" x14ac:dyDescent="0.3">
      <c r="G243" s="139"/>
      <c r="H243" s="139"/>
      <c r="I243" s="139"/>
      <c r="J243" s="139"/>
      <c r="K243" s="139"/>
      <c r="L243" s="139"/>
      <c r="M243" s="139"/>
    </row>
    <row r="244" spans="7:13" x14ac:dyDescent="0.3">
      <c r="G244" s="139"/>
      <c r="H244" s="139"/>
      <c r="I244" s="139"/>
      <c r="J244" s="139"/>
      <c r="K244" s="139"/>
      <c r="L244" s="139"/>
      <c r="M244" s="139"/>
    </row>
    <row r="245" spans="7:13" x14ac:dyDescent="0.3">
      <c r="G245" s="139"/>
      <c r="H245" s="139"/>
      <c r="I245" s="139"/>
      <c r="J245" s="139"/>
      <c r="K245" s="139"/>
      <c r="L245" s="139"/>
      <c r="M245" s="139"/>
    </row>
    <row r="246" spans="7:13" x14ac:dyDescent="0.3">
      <c r="G246" s="139"/>
      <c r="H246" s="139"/>
      <c r="I246" s="139"/>
      <c r="J246" s="139"/>
      <c r="K246" s="139"/>
      <c r="L246" s="139"/>
      <c r="M246" s="139"/>
    </row>
    <row r="247" spans="7:13" x14ac:dyDescent="0.3">
      <c r="G247" s="139"/>
      <c r="H247" s="139"/>
      <c r="I247" s="139"/>
      <c r="J247" s="139"/>
      <c r="K247" s="139"/>
      <c r="L247" s="139"/>
      <c r="M247" s="139"/>
    </row>
    <row r="248" spans="7:13" x14ac:dyDescent="0.3">
      <c r="G248" s="139"/>
      <c r="H248" s="139"/>
      <c r="I248" s="139"/>
      <c r="J248" s="139"/>
      <c r="K248" s="139"/>
      <c r="L248" s="139"/>
      <c r="M248" s="139"/>
    </row>
    <row r="249" spans="7:13" x14ac:dyDescent="0.3">
      <c r="G249" s="139"/>
      <c r="H249" s="139"/>
      <c r="I249" s="139"/>
      <c r="J249" s="139"/>
      <c r="K249" s="139"/>
      <c r="L249" s="139"/>
      <c r="M249" s="139"/>
    </row>
    <row r="250" spans="7:13" x14ac:dyDescent="0.3">
      <c r="G250" s="139"/>
      <c r="H250" s="139"/>
      <c r="I250" s="139"/>
      <c r="J250" s="139"/>
      <c r="K250" s="139"/>
      <c r="L250" s="139"/>
      <c r="M250" s="139"/>
    </row>
    <row r="251" spans="7:13" x14ac:dyDescent="0.3">
      <c r="G251" s="139"/>
      <c r="H251" s="139"/>
      <c r="I251" s="139"/>
      <c r="J251" s="139"/>
      <c r="K251" s="139"/>
      <c r="L251" s="139"/>
      <c r="M251" s="139"/>
    </row>
    <row r="252" spans="7:13" x14ac:dyDescent="0.3">
      <c r="G252" s="139"/>
      <c r="H252" s="139"/>
      <c r="I252" s="139"/>
      <c r="J252" s="139"/>
      <c r="K252" s="139"/>
      <c r="L252" s="139"/>
      <c r="M252" s="139"/>
    </row>
    <row r="253" spans="7:13" x14ac:dyDescent="0.3">
      <c r="G253" s="139"/>
      <c r="H253" s="139"/>
      <c r="I253" s="139"/>
      <c r="J253" s="139"/>
      <c r="K253" s="139"/>
      <c r="L253" s="139"/>
      <c r="M253" s="139"/>
    </row>
    <row r="254" spans="7:13" x14ac:dyDescent="0.3">
      <c r="G254" s="139"/>
      <c r="H254" s="139"/>
      <c r="I254" s="139"/>
      <c r="J254" s="139"/>
      <c r="K254" s="139"/>
      <c r="L254" s="139"/>
      <c r="M254" s="139"/>
    </row>
    <row r="255" spans="7:13" x14ac:dyDescent="0.3">
      <c r="G255" s="139"/>
      <c r="H255" s="139"/>
      <c r="I255" s="139"/>
      <c r="J255" s="139"/>
      <c r="K255" s="139"/>
      <c r="L255" s="139"/>
      <c r="M255" s="139"/>
    </row>
    <row r="256" spans="7:13" x14ac:dyDescent="0.3">
      <c r="G256" s="139"/>
      <c r="H256" s="139"/>
      <c r="I256" s="139"/>
      <c r="J256" s="139"/>
      <c r="K256" s="139"/>
      <c r="L256" s="139"/>
      <c r="M256" s="139"/>
    </row>
    <row r="257" spans="7:13" x14ac:dyDescent="0.3">
      <c r="G257" s="139"/>
      <c r="H257" s="139"/>
      <c r="I257" s="139"/>
      <c r="J257" s="139"/>
      <c r="K257" s="139"/>
      <c r="L257" s="139"/>
      <c r="M257" s="139"/>
    </row>
    <row r="258" spans="7:13" x14ac:dyDescent="0.3">
      <c r="G258" s="139"/>
      <c r="H258" s="139"/>
      <c r="I258" s="139"/>
      <c r="J258" s="139"/>
      <c r="K258" s="139"/>
      <c r="L258" s="139"/>
      <c r="M258" s="139"/>
    </row>
    <row r="259" spans="7:13" x14ac:dyDescent="0.3">
      <c r="G259" s="139"/>
      <c r="H259" s="139"/>
      <c r="I259" s="139"/>
      <c r="J259" s="139"/>
      <c r="K259" s="139"/>
      <c r="L259" s="139"/>
      <c r="M259" s="139"/>
    </row>
    <row r="260" spans="7:13" x14ac:dyDescent="0.3">
      <c r="G260" s="139"/>
      <c r="H260" s="139"/>
      <c r="I260" s="139"/>
      <c r="J260" s="139"/>
      <c r="K260" s="139"/>
      <c r="L260" s="139"/>
      <c r="M260" s="139"/>
    </row>
    <row r="261" spans="7:13" x14ac:dyDescent="0.3">
      <c r="G261" s="139"/>
      <c r="H261" s="139"/>
      <c r="I261" s="139"/>
      <c r="J261" s="139"/>
      <c r="K261" s="139"/>
      <c r="L261" s="139"/>
      <c r="M261" s="139"/>
    </row>
    <row r="262" spans="7:13" x14ac:dyDescent="0.3">
      <c r="G262" s="139"/>
      <c r="H262" s="139"/>
      <c r="I262" s="139"/>
      <c r="J262" s="139"/>
      <c r="K262" s="139"/>
      <c r="L262" s="139"/>
      <c r="M262" s="139"/>
    </row>
    <row r="263" spans="7:13" x14ac:dyDescent="0.3">
      <c r="G263" s="139"/>
      <c r="H263" s="139"/>
      <c r="I263" s="139"/>
      <c r="J263" s="139"/>
      <c r="K263" s="139"/>
      <c r="L263" s="139"/>
      <c r="M263" s="139"/>
    </row>
    <row r="264" spans="7:13" x14ac:dyDescent="0.3">
      <c r="G264" s="139"/>
      <c r="H264" s="139"/>
      <c r="I264" s="139"/>
      <c r="J264" s="139"/>
      <c r="K264" s="139"/>
      <c r="L264" s="139"/>
      <c r="M264" s="139"/>
    </row>
    <row r="265" spans="7:13" x14ac:dyDescent="0.3">
      <c r="G265" s="139"/>
      <c r="H265" s="139"/>
      <c r="I265" s="139"/>
      <c r="J265" s="139"/>
      <c r="K265" s="139"/>
      <c r="L265" s="139"/>
      <c r="M265" s="139"/>
    </row>
    <row r="266" spans="7:13" x14ac:dyDescent="0.3">
      <c r="G266" s="139"/>
      <c r="H266" s="139"/>
      <c r="I266" s="139"/>
      <c r="J266" s="139"/>
      <c r="K266" s="139"/>
      <c r="L266" s="139"/>
      <c r="M266" s="139"/>
    </row>
    <row r="267" spans="7:13" x14ac:dyDescent="0.3">
      <c r="G267" s="139"/>
      <c r="H267" s="139"/>
      <c r="I267" s="139"/>
      <c r="J267" s="139"/>
      <c r="K267" s="139"/>
      <c r="L267" s="139"/>
      <c r="M267" s="139"/>
    </row>
    <row r="268" spans="7:13" x14ac:dyDescent="0.3">
      <c r="G268" s="139"/>
      <c r="H268" s="139"/>
      <c r="I268" s="139"/>
      <c r="J268" s="139"/>
      <c r="K268" s="139"/>
      <c r="L268" s="139"/>
      <c r="M268" s="139"/>
    </row>
    <row r="269" spans="7:13" x14ac:dyDescent="0.3">
      <c r="G269" s="139"/>
      <c r="H269" s="139"/>
      <c r="I269" s="139"/>
      <c r="J269" s="139"/>
      <c r="K269" s="139"/>
      <c r="L269" s="139"/>
      <c r="M269" s="139"/>
    </row>
    <row r="270" spans="7:13" x14ac:dyDescent="0.3">
      <c r="G270" s="139"/>
      <c r="H270" s="139"/>
      <c r="I270" s="139"/>
      <c r="J270" s="139"/>
      <c r="K270" s="139"/>
      <c r="L270" s="139"/>
      <c r="M270" s="139"/>
    </row>
    <row r="271" spans="7:13" x14ac:dyDescent="0.3">
      <c r="G271" s="139"/>
      <c r="H271" s="139"/>
      <c r="I271" s="139"/>
      <c r="J271" s="139"/>
      <c r="K271" s="139"/>
      <c r="L271" s="139"/>
      <c r="M271" s="139"/>
    </row>
    <row r="272" spans="7:13" x14ac:dyDescent="0.3">
      <c r="G272" s="139"/>
      <c r="H272" s="139"/>
      <c r="I272" s="139"/>
      <c r="J272" s="139"/>
      <c r="K272" s="139"/>
      <c r="L272" s="139"/>
      <c r="M272" s="139"/>
    </row>
    <row r="273" spans="7:13" x14ac:dyDescent="0.3">
      <c r="G273" s="139"/>
      <c r="H273" s="139"/>
      <c r="I273" s="139"/>
      <c r="J273" s="139"/>
      <c r="K273" s="139"/>
      <c r="L273" s="139"/>
      <c r="M273" s="139"/>
    </row>
    <row r="274" spans="7:13" x14ac:dyDescent="0.3">
      <c r="G274" s="139"/>
      <c r="H274" s="139"/>
      <c r="I274" s="139"/>
      <c r="J274" s="139"/>
      <c r="K274" s="139"/>
      <c r="L274" s="139"/>
      <c r="M274" s="139"/>
    </row>
    <row r="275" spans="7:13" x14ac:dyDescent="0.3">
      <c r="G275" s="139"/>
      <c r="H275" s="139"/>
      <c r="I275" s="139"/>
      <c r="J275" s="139"/>
      <c r="K275" s="139"/>
      <c r="L275" s="139"/>
      <c r="M275" s="139"/>
    </row>
    <row r="276" spans="7:13" x14ac:dyDescent="0.3">
      <c r="G276" s="139"/>
      <c r="H276" s="139"/>
      <c r="I276" s="139"/>
      <c r="J276" s="139"/>
      <c r="K276" s="139"/>
      <c r="L276" s="139"/>
      <c r="M276" s="139"/>
    </row>
    <row r="277" spans="7:13" x14ac:dyDescent="0.3">
      <c r="G277" s="139"/>
      <c r="H277" s="139"/>
      <c r="I277" s="139"/>
      <c r="J277" s="139"/>
      <c r="K277" s="139"/>
      <c r="L277" s="139"/>
      <c r="M277" s="139"/>
    </row>
    <row r="278" spans="7:13" x14ac:dyDescent="0.3">
      <c r="G278" s="139"/>
      <c r="H278" s="139"/>
      <c r="I278" s="139"/>
      <c r="J278" s="139"/>
      <c r="K278" s="139"/>
      <c r="L278" s="139"/>
      <c r="M278" s="139"/>
    </row>
    <row r="279" spans="7:13" x14ac:dyDescent="0.3">
      <c r="G279" s="139"/>
      <c r="H279" s="139"/>
      <c r="I279" s="139"/>
      <c r="J279" s="139"/>
      <c r="K279" s="139"/>
      <c r="L279" s="139"/>
      <c r="M279" s="139"/>
    </row>
    <row r="280" spans="7:13" x14ac:dyDescent="0.3">
      <c r="G280" s="139"/>
      <c r="H280" s="139"/>
      <c r="I280" s="139"/>
      <c r="J280" s="139"/>
      <c r="K280" s="139"/>
      <c r="L280" s="139"/>
      <c r="M280" s="139"/>
    </row>
    <row r="281" spans="7:13" x14ac:dyDescent="0.3">
      <c r="G281" s="139"/>
      <c r="H281" s="139"/>
      <c r="I281" s="139"/>
      <c r="J281" s="139"/>
      <c r="K281" s="139"/>
      <c r="L281" s="139"/>
      <c r="M281" s="139"/>
    </row>
    <row r="282" spans="7:13" x14ac:dyDescent="0.3">
      <c r="G282" s="139"/>
      <c r="H282" s="139"/>
      <c r="I282" s="139"/>
      <c r="J282" s="139"/>
      <c r="K282" s="139"/>
      <c r="L282" s="139"/>
      <c r="M282" s="139"/>
    </row>
    <row r="283" spans="7:13" x14ac:dyDescent="0.3">
      <c r="G283" s="139"/>
      <c r="H283" s="139"/>
      <c r="I283" s="139"/>
      <c r="J283" s="139"/>
      <c r="K283" s="139"/>
      <c r="L283" s="139"/>
      <c r="M283" s="139"/>
    </row>
    <row r="284" spans="7:13" x14ac:dyDescent="0.3">
      <c r="G284" s="139"/>
      <c r="H284" s="139"/>
      <c r="I284" s="139"/>
      <c r="J284" s="139"/>
      <c r="K284" s="139"/>
      <c r="L284" s="139"/>
      <c r="M284" s="139"/>
    </row>
    <row r="285" spans="7:13" x14ac:dyDescent="0.3">
      <c r="G285" s="139"/>
      <c r="H285" s="139"/>
      <c r="I285" s="139"/>
      <c r="J285" s="139"/>
      <c r="K285" s="139"/>
      <c r="L285" s="139"/>
      <c r="M285" s="139"/>
    </row>
    <row r="286" spans="7:13" x14ac:dyDescent="0.3">
      <c r="G286" s="139"/>
      <c r="H286" s="139"/>
      <c r="I286" s="139"/>
      <c r="J286" s="139"/>
      <c r="K286" s="139"/>
      <c r="L286" s="139"/>
      <c r="M286" s="139"/>
    </row>
    <row r="287" spans="7:13" x14ac:dyDescent="0.3">
      <c r="G287" s="139"/>
      <c r="H287" s="139"/>
      <c r="I287" s="139"/>
      <c r="J287" s="139"/>
      <c r="K287" s="139"/>
      <c r="L287" s="139"/>
      <c r="M287" s="139"/>
    </row>
    <row r="288" spans="7:13" x14ac:dyDescent="0.3">
      <c r="G288" s="139"/>
      <c r="H288" s="139"/>
      <c r="I288" s="139"/>
      <c r="J288" s="139"/>
      <c r="K288" s="139"/>
      <c r="L288" s="139"/>
      <c r="M288" s="139"/>
    </row>
    <row r="289" spans="7:13" x14ac:dyDescent="0.3">
      <c r="G289" s="139"/>
      <c r="H289" s="139"/>
      <c r="I289" s="139"/>
      <c r="J289" s="139"/>
      <c r="K289" s="139"/>
      <c r="L289" s="139"/>
      <c r="M289" s="139"/>
    </row>
    <row r="290" spans="7:13" x14ac:dyDescent="0.3">
      <c r="G290" s="139"/>
      <c r="H290" s="139"/>
      <c r="I290" s="139"/>
      <c r="J290" s="139"/>
      <c r="K290" s="139"/>
      <c r="L290" s="139"/>
      <c r="M290" s="139"/>
    </row>
    <row r="291" spans="7:13" x14ac:dyDescent="0.3">
      <c r="G291" s="139"/>
      <c r="H291" s="139"/>
      <c r="I291" s="139"/>
      <c r="J291" s="139"/>
      <c r="K291" s="139"/>
      <c r="L291" s="139"/>
      <c r="M291" s="139"/>
    </row>
    <row r="292" spans="7:13" x14ac:dyDescent="0.3">
      <c r="G292" s="139"/>
      <c r="H292" s="139"/>
      <c r="I292" s="139"/>
      <c r="J292" s="139"/>
      <c r="K292" s="139"/>
      <c r="L292" s="139"/>
      <c r="M292" s="139"/>
    </row>
    <row r="293" spans="7:13" x14ac:dyDescent="0.3">
      <c r="G293" s="139"/>
      <c r="H293" s="139"/>
      <c r="I293" s="139"/>
      <c r="J293" s="139"/>
      <c r="K293" s="139"/>
      <c r="L293" s="139"/>
      <c r="M293" s="139"/>
    </row>
    <row r="294" spans="7:13" x14ac:dyDescent="0.3">
      <c r="G294" s="139"/>
      <c r="H294" s="139"/>
      <c r="I294" s="139"/>
      <c r="J294" s="139"/>
      <c r="K294" s="139"/>
      <c r="L294" s="139"/>
      <c r="M294" s="139"/>
    </row>
    <row r="295" spans="7:13" x14ac:dyDescent="0.3">
      <c r="G295" s="139"/>
      <c r="H295" s="139"/>
      <c r="I295" s="139"/>
      <c r="J295" s="139"/>
      <c r="K295" s="139"/>
      <c r="L295" s="139"/>
      <c r="M295" s="139"/>
    </row>
    <row r="296" spans="7:13" x14ac:dyDescent="0.3">
      <c r="G296" s="139"/>
      <c r="H296" s="139"/>
      <c r="I296" s="139"/>
      <c r="J296" s="139"/>
      <c r="K296" s="139"/>
      <c r="L296" s="139"/>
      <c r="M296" s="139"/>
    </row>
    <row r="297" spans="7:13" x14ac:dyDescent="0.3">
      <c r="G297" s="139"/>
      <c r="H297" s="139"/>
      <c r="I297" s="139"/>
      <c r="J297" s="139"/>
      <c r="K297" s="139"/>
      <c r="L297" s="139"/>
      <c r="M297" s="139"/>
    </row>
    <row r="298" spans="7:13" x14ac:dyDescent="0.3">
      <c r="G298" s="139"/>
      <c r="H298" s="139"/>
      <c r="I298" s="139"/>
      <c r="J298" s="139"/>
      <c r="K298" s="139"/>
      <c r="L298" s="139"/>
      <c r="M298" s="139"/>
    </row>
    <row r="299" spans="7:13" x14ac:dyDescent="0.3">
      <c r="G299" s="139"/>
      <c r="H299" s="139"/>
      <c r="I299" s="139"/>
      <c r="J299" s="139"/>
      <c r="K299" s="139"/>
      <c r="L299" s="139"/>
      <c r="M299" s="139"/>
    </row>
    <row r="300" spans="7:13" x14ac:dyDescent="0.3">
      <c r="G300" s="139"/>
      <c r="H300" s="139"/>
      <c r="I300" s="139"/>
      <c r="J300" s="139"/>
      <c r="K300" s="139"/>
      <c r="L300" s="139"/>
      <c r="M300" s="139"/>
    </row>
    <row r="301" spans="7:13" x14ac:dyDescent="0.3">
      <c r="G301" s="139"/>
      <c r="H301" s="139"/>
      <c r="I301" s="139"/>
      <c r="J301" s="139"/>
      <c r="K301" s="139"/>
      <c r="L301" s="139"/>
      <c r="M301" s="139"/>
    </row>
    <row r="302" spans="7:13" x14ac:dyDescent="0.3">
      <c r="G302" s="139"/>
      <c r="H302" s="139"/>
      <c r="I302" s="139"/>
      <c r="J302" s="139"/>
      <c r="K302" s="139"/>
      <c r="L302" s="139"/>
      <c r="M302" s="139"/>
    </row>
    <row r="303" spans="7:13" x14ac:dyDescent="0.3">
      <c r="G303" s="139"/>
      <c r="H303" s="139"/>
      <c r="I303" s="139"/>
      <c r="J303" s="139"/>
      <c r="K303" s="139"/>
      <c r="L303" s="139"/>
      <c r="M303" s="139"/>
    </row>
    <row r="304" spans="7:13" x14ac:dyDescent="0.3">
      <c r="G304" s="139"/>
      <c r="H304" s="139"/>
      <c r="I304" s="139"/>
      <c r="J304" s="139"/>
      <c r="K304" s="139"/>
      <c r="L304" s="139"/>
      <c r="M304" s="139"/>
    </row>
    <row r="305" spans="7:13" x14ac:dyDescent="0.3">
      <c r="G305" s="139"/>
      <c r="H305" s="139"/>
      <c r="I305" s="139"/>
      <c r="J305" s="139"/>
      <c r="K305" s="139"/>
      <c r="L305" s="139"/>
      <c r="M305" s="139"/>
    </row>
    <row r="306" spans="7:13" x14ac:dyDescent="0.3">
      <c r="G306" s="139"/>
      <c r="H306" s="139"/>
      <c r="I306" s="139"/>
      <c r="J306" s="139"/>
      <c r="K306" s="139"/>
      <c r="L306" s="139"/>
      <c r="M306" s="139"/>
    </row>
    <row r="307" spans="7:13" x14ac:dyDescent="0.3">
      <c r="G307" s="139"/>
      <c r="H307" s="139"/>
      <c r="I307" s="139"/>
      <c r="J307" s="139"/>
      <c r="K307" s="139"/>
      <c r="L307" s="139"/>
      <c r="M307" s="139"/>
    </row>
    <row r="308" spans="7:13" x14ac:dyDescent="0.3">
      <c r="G308" s="139"/>
      <c r="H308" s="139"/>
      <c r="I308" s="139"/>
      <c r="J308" s="139"/>
      <c r="K308" s="139"/>
      <c r="L308" s="139"/>
      <c r="M308" s="139"/>
    </row>
    <row r="309" spans="7:13" x14ac:dyDescent="0.3">
      <c r="G309" s="139"/>
      <c r="H309" s="139"/>
      <c r="I309" s="139"/>
      <c r="J309" s="139"/>
      <c r="K309" s="139"/>
      <c r="L309" s="139"/>
      <c r="M309" s="139"/>
    </row>
    <row r="310" spans="7:13" x14ac:dyDescent="0.3">
      <c r="G310" s="139"/>
      <c r="H310" s="139"/>
      <c r="I310" s="139"/>
      <c r="J310" s="139"/>
      <c r="K310" s="139"/>
      <c r="L310" s="139"/>
      <c r="M310" s="139"/>
    </row>
    <row r="311" spans="7:13" x14ac:dyDescent="0.3">
      <c r="G311" s="139"/>
      <c r="H311" s="139"/>
      <c r="I311" s="139"/>
      <c r="J311" s="139"/>
      <c r="K311" s="139"/>
      <c r="L311" s="139"/>
      <c r="M311" s="139"/>
    </row>
    <row r="312" spans="7:13" x14ac:dyDescent="0.3">
      <c r="G312" s="139"/>
      <c r="H312" s="139"/>
      <c r="I312" s="139"/>
      <c r="J312" s="139"/>
      <c r="K312" s="139"/>
      <c r="L312" s="139"/>
      <c r="M312" s="139"/>
    </row>
    <row r="313" spans="7:13" x14ac:dyDescent="0.3">
      <c r="G313" s="139"/>
      <c r="H313" s="139"/>
      <c r="I313" s="139"/>
      <c r="J313" s="139"/>
      <c r="K313" s="139"/>
      <c r="L313" s="139"/>
      <c r="M313" s="139"/>
    </row>
    <row r="314" spans="7:13" x14ac:dyDescent="0.3">
      <c r="G314" s="139"/>
      <c r="H314" s="139"/>
      <c r="I314" s="139"/>
      <c r="J314" s="139"/>
      <c r="K314" s="139"/>
      <c r="L314" s="139"/>
      <c r="M314" s="139"/>
    </row>
    <row r="315" spans="7:13" x14ac:dyDescent="0.3">
      <c r="G315" s="139"/>
      <c r="H315" s="139"/>
      <c r="I315" s="139"/>
      <c r="J315" s="139"/>
      <c r="K315" s="139"/>
      <c r="L315" s="139"/>
      <c r="M315" s="139"/>
    </row>
    <row r="316" spans="7:13" x14ac:dyDescent="0.3">
      <c r="G316" s="139"/>
      <c r="H316" s="139"/>
      <c r="I316" s="139"/>
      <c r="J316" s="139"/>
      <c r="K316" s="139"/>
      <c r="L316" s="139"/>
      <c r="M316" s="139"/>
    </row>
    <row r="317" spans="7:13" x14ac:dyDescent="0.3">
      <c r="G317" s="139"/>
      <c r="H317" s="139"/>
      <c r="I317" s="139"/>
      <c r="J317" s="139"/>
      <c r="K317" s="139"/>
      <c r="L317" s="139"/>
      <c r="M317" s="139"/>
    </row>
    <row r="318" spans="7:13" x14ac:dyDescent="0.3">
      <c r="G318" s="139"/>
      <c r="H318" s="139"/>
      <c r="I318" s="139"/>
      <c r="J318" s="139"/>
      <c r="K318" s="139"/>
      <c r="L318" s="139"/>
      <c r="M318" s="139"/>
    </row>
    <row r="319" spans="7:13" x14ac:dyDescent="0.3">
      <c r="G319" s="139"/>
      <c r="H319" s="139"/>
      <c r="I319" s="139"/>
      <c r="J319" s="139"/>
      <c r="K319" s="139"/>
      <c r="L319" s="139"/>
      <c r="M319" s="139"/>
    </row>
    <row r="320" spans="7:13" x14ac:dyDescent="0.3">
      <c r="G320" s="139"/>
      <c r="H320" s="139"/>
      <c r="I320" s="139"/>
      <c r="J320" s="139"/>
      <c r="K320" s="139"/>
      <c r="L320" s="139"/>
      <c r="M320" s="139"/>
    </row>
    <row r="321" spans="7:13" x14ac:dyDescent="0.3">
      <c r="G321" s="139"/>
      <c r="H321" s="139"/>
      <c r="I321" s="139"/>
      <c r="J321" s="139"/>
      <c r="K321" s="139"/>
      <c r="L321" s="139"/>
      <c r="M321" s="139"/>
    </row>
    <row r="322" spans="7:13" x14ac:dyDescent="0.3">
      <c r="G322" s="139"/>
      <c r="H322" s="139"/>
      <c r="I322" s="139"/>
      <c r="J322" s="139"/>
      <c r="K322" s="139"/>
      <c r="L322" s="139"/>
      <c r="M322" s="139"/>
    </row>
    <row r="323" spans="7:13" x14ac:dyDescent="0.3">
      <c r="G323" s="139"/>
      <c r="H323" s="139"/>
      <c r="I323" s="139"/>
      <c r="J323" s="139"/>
      <c r="K323" s="139"/>
      <c r="L323" s="139"/>
      <c r="M323" s="139"/>
    </row>
    <row r="324" spans="7:13" x14ac:dyDescent="0.3">
      <c r="G324" s="139"/>
      <c r="H324" s="139"/>
      <c r="I324" s="139"/>
      <c r="J324" s="139"/>
      <c r="K324" s="139"/>
      <c r="L324" s="139"/>
      <c r="M324" s="139"/>
    </row>
    <row r="325" spans="7:13" x14ac:dyDescent="0.3">
      <c r="G325" s="139"/>
      <c r="H325" s="139"/>
      <c r="I325" s="139"/>
      <c r="J325" s="139"/>
      <c r="K325" s="139"/>
      <c r="L325" s="139"/>
      <c r="M325" s="139"/>
    </row>
    <row r="326" spans="7:13" x14ac:dyDescent="0.3">
      <c r="G326" s="139"/>
      <c r="H326" s="139"/>
      <c r="I326" s="139"/>
      <c r="J326" s="139"/>
      <c r="K326" s="139"/>
      <c r="L326" s="139"/>
      <c r="M326" s="139"/>
    </row>
    <row r="327" spans="7:13" x14ac:dyDescent="0.3">
      <c r="G327" s="139"/>
      <c r="H327" s="139"/>
      <c r="I327" s="139"/>
      <c r="J327" s="139"/>
      <c r="K327" s="139"/>
      <c r="L327" s="139"/>
      <c r="M327" s="139"/>
    </row>
    <row r="328" spans="7:13" x14ac:dyDescent="0.3">
      <c r="G328" s="139"/>
      <c r="H328" s="139"/>
      <c r="I328" s="139"/>
      <c r="J328" s="139"/>
      <c r="K328" s="139"/>
      <c r="L328" s="139"/>
      <c r="M328" s="139"/>
    </row>
    <row r="329" spans="7:13" x14ac:dyDescent="0.3">
      <c r="G329" s="139"/>
      <c r="H329" s="139"/>
      <c r="I329" s="139"/>
      <c r="J329" s="139"/>
      <c r="K329" s="139"/>
      <c r="L329" s="139"/>
      <c r="M329" s="139"/>
    </row>
    <row r="330" spans="7:13" x14ac:dyDescent="0.3">
      <c r="G330" s="139"/>
      <c r="H330" s="139"/>
      <c r="I330" s="139"/>
      <c r="J330" s="139"/>
      <c r="K330" s="139"/>
      <c r="L330" s="139"/>
      <c r="M330" s="139"/>
    </row>
    <row r="331" spans="7:13" x14ac:dyDescent="0.3">
      <c r="G331" s="139"/>
      <c r="H331" s="139"/>
      <c r="I331" s="139"/>
      <c r="J331" s="139"/>
      <c r="K331" s="139"/>
      <c r="L331" s="139"/>
      <c r="M331" s="139"/>
    </row>
    <row r="332" spans="7:13" x14ac:dyDescent="0.3">
      <c r="G332" s="139"/>
      <c r="H332" s="139"/>
      <c r="I332" s="139"/>
      <c r="J332" s="139"/>
      <c r="K332" s="139"/>
      <c r="L332" s="139"/>
      <c r="M332" s="139"/>
    </row>
    <row r="333" spans="7:13" x14ac:dyDescent="0.3">
      <c r="G333" s="139"/>
      <c r="H333" s="139"/>
      <c r="I333" s="139"/>
      <c r="J333" s="139"/>
      <c r="K333" s="139"/>
      <c r="L333" s="139"/>
      <c r="M333" s="139"/>
    </row>
    <row r="334" spans="7:13" x14ac:dyDescent="0.3">
      <c r="G334" s="139"/>
      <c r="H334" s="139"/>
      <c r="I334" s="139"/>
      <c r="J334" s="139"/>
      <c r="K334" s="139"/>
      <c r="L334" s="139"/>
      <c r="M334" s="139"/>
    </row>
    <row r="335" spans="7:13" x14ac:dyDescent="0.3">
      <c r="G335" s="139"/>
      <c r="H335" s="139"/>
      <c r="I335" s="139"/>
      <c r="J335" s="139"/>
      <c r="K335" s="139"/>
      <c r="L335" s="139"/>
      <c r="M335" s="139"/>
    </row>
    <row r="336" spans="7:13" x14ac:dyDescent="0.3">
      <c r="G336" s="139"/>
      <c r="H336" s="139"/>
      <c r="I336" s="139"/>
      <c r="J336" s="139"/>
      <c r="K336" s="139"/>
      <c r="L336" s="139"/>
      <c r="M336" s="139"/>
    </row>
    <row r="337" spans="7:13" x14ac:dyDescent="0.3">
      <c r="G337" s="139"/>
      <c r="H337" s="139"/>
      <c r="I337" s="139"/>
      <c r="J337" s="139"/>
      <c r="K337" s="139"/>
      <c r="L337" s="139"/>
      <c r="M337" s="139"/>
    </row>
    <row r="338" spans="7:13" x14ac:dyDescent="0.3">
      <c r="G338" s="139"/>
      <c r="H338" s="139"/>
      <c r="I338" s="139"/>
      <c r="J338" s="139"/>
      <c r="K338" s="139"/>
      <c r="L338" s="139"/>
      <c r="M338" s="139"/>
    </row>
    <row r="339" spans="7:13" x14ac:dyDescent="0.3">
      <c r="G339" s="139"/>
      <c r="H339" s="139"/>
      <c r="I339" s="139"/>
      <c r="J339" s="139"/>
      <c r="K339" s="139"/>
      <c r="L339" s="139"/>
      <c r="M339" s="139"/>
    </row>
    <row r="340" spans="7:13" x14ac:dyDescent="0.3">
      <c r="G340" s="139"/>
      <c r="H340" s="139"/>
      <c r="I340" s="139"/>
      <c r="J340" s="139"/>
      <c r="K340" s="139"/>
      <c r="L340" s="139"/>
      <c r="M340" s="139"/>
    </row>
    <row r="341" spans="7:13" x14ac:dyDescent="0.3">
      <c r="G341" s="139"/>
      <c r="H341" s="139"/>
      <c r="I341" s="139"/>
      <c r="J341" s="139"/>
      <c r="K341" s="139"/>
      <c r="L341" s="139"/>
      <c r="M341" s="139"/>
    </row>
    <row r="342" spans="7:13" x14ac:dyDescent="0.3">
      <c r="G342" s="139"/>
      <c r="H342" s="139"/>
      <c r="I342" s="139"/>
      <c r="J342" s="139"/>
      <c r="K342" s="139"/>
      <c r="L342" s="139"/>
      <c r="M342" s="139"/>
    </row>
    <row r="343" spans="7:13" x14ac:dyDescent="0.3">
      <c r="G343" s="139"/>
      <c r="H343" s="139"/>
      <c r="I343" s="139"/>
      <c r="J343" s="139"/>
      <c r="K343" s="139"/>
      <c r="L343" s="139"/>
      <c r="M343" s="139"/>
    </row>
    <row r="344" spans="7:13" x14ac:dyDescent="0.3">
      <c r="G344" s="139"/>
      <c r="H344" s="139"/>
      <c r="I344" s="139"/>
      <c r="J344" s="139"/>
      <c r="K344" s="139"/>
      <c r="L344" s="139"/>
      <c r="M344" s="139"/>
    </row>
    <row r="345" spans="7:13" x14ac:dyDescent="0.3">
      <c r="G345" s="139"/>
      <c r="H345" s="139"/>
      <c r="I345" s="139"/>
      <c r="J345" s="139"/>
      <c r="K345" s="139"/>
      <c r="L345" s="139"/>
      <c r="M345" s="139"/>
    </row>
    <row r="346" spans="7:13" x14ac:dyDescent="0.3">
      <c r="G346" s="139"/>
      <c r="H346" s="139"/>
      <c r="I346" s="139"/>
      <c r="J346" s="139"/>
      <c r="K346" s="139"/>
      <c r="L346" s="139"/>
      <c r="M346" s="139"/>
    </row>
    <row r="347" spans="7:13" x14ac:dyDescent="0.3">
      <c r="G347" s="139"/>
      <c r="H347" s="139"/>
      <c r="I347" s="139"/>
      <c r="J347" s="139"/>
      <c r="K347" s="139"/>
      <c r="L347" s="139"/>
      <c r="M347" s="139"/>
    </row>
    <row r="348" spans="7:13" x14ac:dyDescent="0.3">
      <c r="G348" s="139"/>
      <c r="H348" s="139"/>
      <c r="I348" s="139"/>
      <c r="J348" s="139"/>
      <c r="K348" s="139"/>
      <c r="L348" s="139"/>
      <c r="M348" s="139"/>
    </row>
    <row r="349" spans="7:13" x14ac:dyDescent="0.3">
      <c r="G349" s="139"/>
      <c r="H349" s="139"/>
      <c r="I349" s="139"/>
      <c r="J349" s="139"/>
      <c r="K349" s="139"/>
      <c r="L349" s="139"/>
      <c r="M349" s="139"/>
    </row>
    <row r="350" spans="7:13" x14ac:dyDescent="0.3">
      <c r="G350" s="139"/>
      <c r="H350" s="139"/>
      <c r="I350" s="139"/>
      <c r="J350" s="139"/>
      <c r="K350" s="139"/>
      <c r="L350" s="139"/>
      <c r="M350" s="139"/>
    </row>
    <row r="351" spans="7:13" x14ac:dyDescent="0.3">
      <c r="G351" s="139"/>
      <c r="H351" s="139"/>
      <c r="I351" s="139"/>
      <c r="J351" s="139"/>
      <c r="K351" s="139"/>
      <c r="L351" s="139"/>
      <c r="M351" s="139"/>
    </row>
    <row r="352" spans="7:13" x14ac:dyDescent="0.3">
      <c r="G352" s="139"/>
      <c r="H352" s="139"/>
      <c r="I352" s="139"/>
      <c r="J352" s="139"/>
      <c r="K352" s="139"/>
      <c r="L352" s="139"/>
      <c r="M352" s="139"/>
    </row>
    <row r="353" spans="7:13" x14ac:dyDescent="0.3">
      <c r="G353" s="139"/>
      <c r="H353" s="139"/>
      <c r="I353" s="139"/>
      <c r="J353" s="139"/>
      <c r="K353" s="139"/>
      <c r="L353" s="139"/>
      <c r="M353" s="139"/>
    </row>
    <row r="354" spans="7:13" x14ac:dyDescent="0.3">
      <c r="G354" s="139"/>
      <c r="H354" s="139"/>
      <c r="I354" s="139"/>
      <c r="J354" s="139"/>
      <c r="K354" s="139"/>
      <c r="L354" s="139"/>
      <c r="M354" s="139"/>
    </row>
    <row r="355" spans="7:13" x14ac:dyDescent="0.3">
      <c r="G355" s="139"/>
      <c r="H355" s="139"/>
      <c r="I355" s="139"/>
      <c r="J355" s="139"/>
      <c r="K355" s="139"/>
      <c r="L355" s="139"/>
      <c r="M355" s="139"/>
    </row>
    <row r="356" spans="7:13" x14ac:dyDescent="0.3">
      <c r="G356" s="139"/>
      <c r="H356" s="139"/>
      <c r="I356" s="139"/>
      <c r="J356" s="139"/>
      <c r="K356" s="139"/>
      <c r="L356" s="139"/>
      <c r="M356" s="139"/>
    </row>
    <row r="357" spans="7:13" x14ac:dyDescent="0.3">
      <c r="G357" s="139"/>
      <c r="H357" s="139"/>
      <c r="I357" s="139"/>
      <c r="J357" s="139"/>
      <c r="K357" s="139"/>
      <c r="L357" s="139"/>
      <c r="M357" s="139"/>
    </row>
    <row r="358" spans="7:13" x14ac:dyDescent="0.3">
      <c r="G358" s="139"/>
      <c r="H358" s="139"/>
      <c r="I358" s="139"/>
      <c r="J358" s="139"/>
      <c r="K358" s="139"/>
      <c r="L358" s="139"/>
      <c r="M358" s="139"/>
    </row>
    <row r="359" spans="7:13" x14ac:dyDescent="0.3">
      <c r="G359" s="139"/>
      <c r="H359" s="139"/>
      <c r="I359" s="139"/>
      <c r="J359" s="139"/>
      <c r="K359" s="139"/>
      <c r="L359" s="139"/>
      <c r="M359" s="139"/>
    </row>
    <row r="360" spans="7:13" x14ac:dyDescent="0.3">
      <c r="G360" s="139"/>
      <c r="H360" s="139"/>
      <c r="I360" s="139"/>
      <c r="J360" s="139"/>
      <c r="K360" s="139"/>
      <c r="L360" s="139"/>
      <c r="M360" s="139"/>
    </row>
    <row r="361" spans="7:13" x14ac:dyDescent="0.3">
      <c r="G361" s="139"/>
      <c r="H361" s="139"/>
      <c r="I361" s="139"/>
      <c r="J361" s="139"/>
      <c r="K361" s="139"/>
      <c r="L361" s="139"/>
      <c r="M361" s="139"/>
    </row>
    <row r="362" spans="7:13" x14ac:dyDescent="0.3">
      <c r="G362" s="139"/>
      <c r="H362" s="139"/>
      <c r="I362" s="139"/>
      <c r="J362" s="139"/>
      <c r="K362" s="139"/>
      <c r="L362" s="139"/>
      <c r="M362" s="139"/>
    </row>
    <row r="363" spans="7:13" x14ac:dyDescent="0.3">
      <c r="G363" s="139"/>
      <c r="H363" s="139"/>
      <c r="I363" s="139"/>
      <c r="J363" s="139"/>
      <c r="K363" s="139"/>
      <c r="L363" s="139"/>
      <c r="M363" s="139"/>
    </row>
    <row r="364" spans="7:13" x14ac:dyDescent="0.3">
      <c r="G364" s="139"/>
      <c r="H364" s="139"/>
      <c r="I364" s="139"/>
      <c r="J364" s="139"/>
      <c r="K364" s="139"/>
      <c r="L364" s="139"/>
      <c r="M364" s="139"/>
    </row>
    <row r="365" spans="7:13" x14ac:dyDescent="0.3">
      <c r="G365" s="139"/>
      <c r="H365" s="139"/>
      <c r="I365" s="139"/>
      <c r="J365" s="139"/>
      <c r="K365" s="139"/>
      <c r="L365" s="139"/>
      <c r="M365" s="139"/>
    </row>
    <row r="366" spans="7:13" x14ac:dyDescent="0.3">
      <c r="G366" s="139"/>
      <c r="H366" s="139"/>
      <c r="I366" s="139"/>
      <c r="J366" s="139"/>
      <c r="K366" s="139"/>
      <c r="L366" s="139"/>
      <c r="M366" s="139"/>
    </row>
    <row r="367" spans="7:13" x14ac:dyDescent="0.3">
      <c r="G367" s="139"/>
      <c r="H367" s="139"/>
      <c r="I367" s="139"/>
      <c r="J367" s="139"/>
      <c r="K367" s="139"/>
      <c r="L367" s="139"/>
      <c r="M367" s="139"/>
    </row>
    <row r="368" spans="7:13" x14ac:dyDescent="0.3">
      <c r="G368" s="139"/>
      <c r="H368" s="139"/>
      <c r="I368" s="139"/>
      <c r="J368" s="139"/>
      <c r="K368" s="139"/>
      <c r="L368" s="139"/>
      <c r="M368" s="139"/>
    </row>
    <row r="369" spans="7:13" x14ac:dyDescent="0.3">
      <c r="G369" s="139"/>
      <c r="H369" s="139"/>
      <c r="I369" s="139"/>
      <c r="J369" s="139"/>
      <c r="K369" s="139"/>
      <c r="L369" s="139"/>
      <c r="M369" s="139"/>
    </row>
    <row r="370" spans="7:13" x14ac:dyDescent="0.3">
      <c r="G370" s="139"/>
      <c r="H370" s="139"/>
      <c r="I370" s="139"/>
      <c r="J370" s="139"/>
      <c r="K370" s="139"/>
      <c r="L370" s="139"/>
      <c r="M370" s="139"/>
    </row>
    <row r="371" spans="7:13" x14ac:dyDescent="0.3">
      <c r="G371" s="139"/>
      <c r="H371" s="139"/>
      <c r="I371" s="139"/>
      <c r="J371" s="139"/>
      <c r="K371" s="139"/>
      <c r="L371" s="139"/>
      <c r="M371" s="139"/>
    </row>
    <row r="372" spans="7:13" x14ac:dyDescent="0.3">
      <c r="G372" s="139"/>
      <c r="H372" s="139"/>
      <c r="I372" s="139"/>
      <c r="J372" s="139"/>
      <c r="K372" s="139"/>
      <c r="L372" s="139"/>
      <c r="M372" s="139"/>
    </row>
    <row r="373" spans="7:13" x14ac:dyDescent="0.3">
      <c r="G373" s="139"/>
      <c r="H373" s="139"/>
      <c r="I373" s="139"/>
      <c r="J373" s="139"/>
      <c r="K373" s="139"/>
      <c r="L373" s="139"/>
      <c r="M373" s="139"/>
    </row>
    <row r="374" spans="7:13" x14ac:dyDescent="0.3">
      <c r="G374" s="139"/>
      <c r="H374" s="139"/>
      <c r="I374" s="139"/>
      <c r="J374" s="139"/>
      <c r="K374" s="139"/>
      <c r="L374" s="139"/>
      <c r="M374" s="139"/>
    </row>
    <row r="375" spans="7:13" x14ac:dyDescent="0.3">
      <c r="G375" s="139"/>
      <c r="H375" s="139"/>
      <c r="I375" s="139"/>
      <c r="J375" s="139"/>
      <c r="K375" s="139"/>
      <c r="L375" s="139"/>
      <c r="M375" s="139"/>
    </row>
    <row r="376" spans="7:13" x14ac:dyDescent="0.3">
      <c r="G376" s="139"/>
      <c r="H376" s="139"/>
      <c r="I376" s="139"/>
      <c r="J376" s="139"/>
      <c r="K376" s="139"/>
      <c r="L376" s="139"/>
      <c r="M376" s="139"/>
    </row>
    <row r="377" spans="7:13" x14ac:dyDescent="0.3">
      <c r="G377" s="139"/>
      <c r="H377" s="139"/>
      <c r="I377" s="139"/>
      <c r="J377" s="139"/>
      <c r="K377" s="139"/>
      <c r="L377" s="139"/>
      <c r="M377" s="139"/>
    </row>
    <row r="378" spans="7:13" x14ac:dyDescent="0.3">
      <c r="G378" s="139"/>
      <c r="H378" s="139"/>
      <c r="I378" s="139"/>
      <c r="J378" s="139"/>
      <c r="K378" s="139"/>
      <c r="L378" s="139"/>
      <c r="M378" s="139"/>
    </row>
    <row r="379" spans="7:13" x14ac:dyDescent="0.3">
      <c r="G379" s="139"/>
      <c r="H379" s="139"/>
      <c r="I379" s="139"/>
      <c r="J379" s="139"/>
      <c r="K379" s="139"/>
      <c r="L379" s="139"/>
      <c r="M379" s="139"/>
    </row>
    <row r="380" spans="7:13" x14ac:dyDescent="0.3">
      <c r="G380" s="139"/>
      <c r="H380" s="139"/>
      <c r="I380" s="139"/>
      <c r="J380" s="139"/>
      <c r="K380" s="139"/>
      <c r="L380" s="139"/>
      <c r="M380" s="139"/>
    </row>
    <row r="381" spans="7:13" x14ac:dyDescent="0.3">
      <c r="G381" s="139"/>
      <c r="H381" s="139"/>
      <c r="I381" s="139"/>
      <c r="J381" s="139"/>
      <c r="K381" s="139"/>
      <c r="L381" s="139"/>
      <c r="M381" s="139"/>
    </row>
    <row r="382" spans="7:13" x14ac:dyDescent="0.3">
      <c r="G382" s="139"/>
      <c r="H382" s="139"/>
      <c r="I382" s="139"/>
      <c r="J382" s="139"/>
      <c r="K382" s="139"/>
      <c r="L382" s="139"/>
      <c r="M382" s="139"/>
    </row>
    <row r="383" spans="7:13" x14ac:dyDescent="0.3">
      <c r="G383" s="139"/>
      <c r="H383" s="139"/>
      <c r="I383" s="139"/>
      <c r="J383" s="139"/>
      <c r="K383" s="139"/>
      <c r="L383" s="139"/>
      <c r="M383" s="139"/>
    </row>
    <row r="384" spans="7:13" x14ac:dyDescent="0.3">
      <c r="G384" s="139"/>
      <c r="H384" s="139"/>
      <c r="I384" s="139"/>
      <c r="J384" s="139"/>
      <c r="K384" s="139"/>
      <c r="L384" s="139"/>
      <c r="M384" s="139"/>
    </row>
    <row r="385" spans="7:13" x14ac:dyDescent="0.3">
      <c r="G385" s="139"/>
      <c r="H385" s="139"/>
      <c r="I385" s="139"/>
      <c r="J385" s="139"/>
      <c r="K385" s="139"/>
      <c r="L385" s="139"/>
      <c r="M385" s="139"/>
    </row>
    <row r="386" spans="7:13" x14ac:dyDescent="0.3">
      <c r="G386" s="139"/>
      <c r="H386" s="139"/>
      <c r="I386" s="139"/>
      <c r="J386" s="139"/>
      <c r="K386" s="139"/>
      <c r="L386" s="139"/>
      <c r="M386" s="139"/>
    </row>
    <row r="387" spans="7:13" x14ac:dyDescent="0.3">
      <c r="G387" s="139"/>
      <c r="H387" s="139"/>
      <c r="I387" s="139"/>
      <c r="J387" s="139"/>
      <c r="K387" s="139"/>
      <c r="L387" s="139"/>
      <c r="M387" s="139"/>
    </row>
    <row r="388" spans="7:13" x14ac:dyDescent="0.3">
      <c r="G388" s="139"/>
      <c r="H388" s="139"/>
      <c r="I388" s="139"/>
      <c r="J388" s="139"/>
      <c r="K388" s="139"/>
      <c r="L388" s="139"/>
      <c r="M388" s="139"/>
    </row>
    <row r="389" spans="7:13" x14ac:dyDescent="0.3">
      <c r="G389" s="139"/>
      <c r="H389" s="139"/>
      <c r="I389" s="139"/>
      <c r="J389" s="139"/>
      <c r="K389" s="139"/>
      <c r="L389" s="139"/>
      <c r="M389" s="139"/>
    </row>
    <row r="390" spans="7:13" x14ac:dyDescent="0.3">
      <c r="G390" s="139"/>
      <c r="H390" s="139"/>
      <c r="I390" s="139"/>
      <c r="J390" s="139"/>
      <c r="K390" s="139"/>
      <c r="L390" s="139"/>
      <c r="M390" s="139"/>
    </row>
    <row r="391" spans="7:13" x14ac:dyDescent="0.3">
      <c r="G391" s="139"/>
      <c r="H391" s="139"/>
      <c r="I391" s="139"/>
      <c r="J391" s="139"/>
      <c r="K391" s="139"/>
      <c r="L391" s="139"/>
      <c r="M391" s="139"/>
    </row>
    <row r="392" spans="7:13" x14ac:dyDescent="0.3">
      <c r="G392" s="139"/>
      <c r="H392" s="139"/>
      <c r="I392" s="139"/>
      <c r="J392" s="139"/>
      <c r="K392" s="139"/>
      <c r="L392" s="139"/>
      <c r="M392" s="139"/>
    </row>
    <row r="393" spans="7:13" x14ac:dyDescent="0.3">
      <c r="G393" s="139"/>
      <c r="H393" s="139"/>
      <c r="I393" s="139"/>
      <c r="J393" s="139"/>
      <c r="K393" s="139"/>
      <c r="L393" s="139"/>
      <c r="M393" s="139"/>
    </row>
    <row r="394" spans="7:13" x14ac:dyDescent="0.3">
      <c r="G394" s="139"/>
      <c r="H394" s="139"/>
      <c r="I394" s="139"/>
      <c r="J394" s="139"/>
      <c r="K394" s="139"/>
      <c r="L394" s="139"/>
      <c r="M394" s="139"/>
    </row>
    <row r="395" spans="7:13" x14ac:dyDescent="0.3">
      <c r="G395" s="139"/>
      <c r="H395" s="139"/>
      <c r="I395" s="139"/>
      <c r="J395" s="139"/>
      <c r="K395" s="139"/>
      <c r="L395" s="139"/>
      <c r="M395" s="139"/>
    </row>
    <row r="396" spans="7:13" x14ac:dyDescent="0.3">
      <c r="G396" s="139"/>
      <c r="H396" s="139"/>
      <c r="I396" s="139"/>
      <c r="J396" s="139"/>
      <c r="K396" s="139"/>
      <c r="L396" s="139"/>
      <c r="M396" s="139"/>
    </row>
    <row r="397" spans="7:13" x14ac:dyDescent="0.3">
      <c r="G397" s="139"/>
      <c r="H397" s="139"/>
      <c r="I397" s="139"/>
      <c r="J397" s="139"/>
      <c r="K397" s="139"/>
      <c r="L397" s="139"/>
      <c r="M397" s="139"/>
    </row>
    <row r="398" spans="7:13" x14ac:dyDescent="0.3">
      <c r="G398" s="139"/>
      <c r="H398" s="139"/>
      <c r="I398" s="139"/>
      <c r="J398" s="139"/>
      <c r="K398" s="139"/>
      <c r="L398" s="139"/>
      <c r="M398" s="139"/>
    </row>
    <row r="399" spans="7:13" x14ac:dyDescent="0.3">
      <c r="G399" s="139"/>
      <c r="H399" s="139"/>
      <c r="I399" s="139"/>
      <c r="J399" s="139"/>
      <c r="K399" s="139"/>
      <c r="L399" s="139"/>
      <c r="M399" s="139"/>
    </row>
    <row r="400" spans="7:13" x14ac:dyDescent="0.3">
      <c r="G400" s="139"/>
      <c r="H400" s="139"/>
      <c r="I400" s="139"/>
      <c r="J400" s="139"/>
      <c r="K400" s="139"/>
      <c r="L400" s="139"/>
      <c r="M400" s="139"/>
    </row>
    <row r="401" spans="7:13" x14ac:dyDescent="0.3">
      <c r="G401" s="139"/>
      <c r="H401" s="139"/>
      <c r="I401" s="139"/>
      <c r="J401" s="139"/>
      <c r="K401" s="139"/>
      <c r="L401" s="139"/>
      <c r="M401" s="139"/>
    </row>
    <row r="402" spans="7:13" x14ac:dyDescent="0.3">
      <c r="G402" s="139"/>
      <c r="H402" s="139"/>
      <c r="I402" s="139"/>
      <c r="J402" s="139"/>
      <c r="K402" s="139"/>
      <c r="L402" s="139"/>
      <c r="M402" s="139"/>
    </row>
    <row r="403" spans="7:13" x14ac:dyDescent="0.3">
      <c r="G403" s="139"/>
      <c r="H403" s="139"/>
      <c r="I403" s="139"/>
      <c r="J403" s="139"/>
      <c r="K403" s="139"/>
      <c r="L403" s="139"/>
      <c r="M403" s="139"/>
    </row>
    <row r="404" spans="7:13" x14ac:dyDescent="0.3">
      <c r="G404" s="139"/>
      <c r="H404" s="139"/>
      <c r="I404" s="139"/>
      <c r="J404" s="139"/>
      <c r="K404" s="139"/>
      <c r="L404" s="139"/>
      <c r="M404" s="139"/>
    </row>
    <row r="405" spans="7:13" x14ac:dyDescent="0.3">
      <c r="G405" s="139"/>
      <c r="H405" s="139"/>
      <c r="I405" s="139"/>
      <c r="J405" s="139"/>
      <c r="K405" s="139"/>
      <c r="L405" s="139"/>
      <c r="M405" s="139"/>
    </row>
    <row r="406" spans="7:13" x14ac:dyDescent="0.3">
      <c r="G406" s="139"/>
      <c r="H406" s="139"/>
      <c r="I406" s="139"/>
      <c r="J406" s="139"/>
      <c r="K406" s="139"/>
      <c r="L406" s="139"/>
      <c r="M406" s="139"/>
    </row>
    <row r="407" spans="7:13" x14ac:dyDescent="0.3">
      <c r="G407" s="139"/>
      <c r="H407" s="139"/>
      <c r="I407" s="139"/>
      <c r="J407" s="139"/>
      <c r="K407" s="139"/>
      <c r="L407" s="139"/>
      <c r="M407" s="139"/>
    </row>
    <row r="408" spans="7:13" x14ac:dyDescent="0.3">
      <c r="G408" s="139"/>
      <c r="H408" s="139"/>
      <c r="I408" s="139"/>
      <c r="J408" s="139"/>
      <c r="K408" s="139"/>
      <c r="L408" s="139"/>
      <c r="M408" s="139"/>
    </row>
    <row r="409" spans="7:13" x14ac:dyDescent="0.3">
      <c r="G409" s="139"/>
      <c r="H409" s="139"/>
      <c r="I409" s="139"/>
      <c r="J409" s="139"/>
      <c r="K409" s="139"/>
      <c r="L409" s="139"/>
      <c r="M409" s="139"/>
    </row>
    <row r="410" spans="7:13" x14ac:dyDescent="0.3">
      <c r="G410" s="139"/>
      <c r="H410" s="139"/>
      <c r="I410" s="139"/>
      <c r="J410" s="139"/>
      <c r="K410" s="139"/>
      <c r="L410" s="139"/>
      <c r="M410" s="139"/>
    </row>
    <row r="411" spans="7:13" x14ac:dyDescent="0.3">
      <c r="G411" s="139"/>
      <c r="H411" s="139"/>
      <c r="I411" s="139"/>
      <c r="J411" s="139"/>
      <c r="K411" s="139"/>
      <c r="L411" s="139"/>
      <c r="M411" s="139"/>
    </row>
    <row r="412" spans="7:13" x14ac:dyDescent="0.3">
      <c r="G412" s="139"/>
      <c r="H412" s="139"/>
      <c r="I412" s="139"/>
      <c r="J412" s="139"/>
      <c r="K412" s="139"/>
      <c r="L412" s="139"/>
      <c r="M412" s="139"/>
    </row>
    <row r="413" spans="7:13" x14ac:dyDescent="0.3">
      <c r="G413" s="139"/>
      <c r="H413" s="139"/>
      <c r="I413" s="139"/>
      <c r="J413" s="139"/>
      <c r="K413" s="139"/>
      <c r="L413" s="139"/>
      <c r="M413" s="139"/>
    </row>
    <row r="414" spans="7:13" x14ac:dyDescent="0.3">
      <c r="G414" s="139"/>
      <c r="H414" s="139"/>
      <c r="I414" s="139"/>
      <c r="J414" s="139"/>
      <c r="K414" s="139"/>
      <c r="L414" s="139"/>
      <c r="M414" s="139"/>
    </row>
    <row r="415" spans="7:13" x14ac:dyDescent="0.3">
      <c r="G415" s="139"/>
      <c r="H415" s="139"/>
      <c r="I415" s="139"/>
      <c r="J415" s="139"/>
      <c r="K415" s="139"/>
      <c r="L415" s="139"/>
      <c r="M415" s="139"/>
    </row>
    <row r="416" spans="7:13" x14ac:dyDescent="0.3">
      <c r="G416" s="139"/>
      <c r="H416" s="139"/>
      <c r="I416" s="139"/>
      <c r="J416" s="139"/>
      <c r="K416" s="139"/>
      <c r="L416" s="139"/>
      <c r="M416" s="139"/>
    </row>
    <row r="417" spans="7:13" x14ac:dyDescent="0.3">
      <c r="G417" s="139"/>
      <c r="H417" s="139"/>
      <c r="I417" s="139"/>
      <c r="J417" s="139"/>
      <c r="K417" s="139"/>
      <c r="L417" s="139"/>
      <c r="M417" s="139"/>
    </row>
    <row r="418" spans="7:13" x14ac:dyDescent="0.3">
      <c r="G418" s="139"/>
      <c r="H418" s="139"/>
      <c r="I418" s="139"/>
      <c r="J418" s="139"/>
      <c r="K418" s="139"/>
      <c r="L418" s="139"/>
      <c r="M418" s="139"/>
    </row>
    <row r="419" spans="7:13" x14ac:dyDescent="0.3">
      <c r="G419" s="139"/>
      <c r="H419" s="139"/>
      <c r="I419" s="139"/>
      <c r="J419" s="139"/>
      <c r="K419" s="139"/>
      <c r="L419" s="139"/>
      <c r="M419" s="139"/>
    </row>
    <row r="420" spans="7:13" x14ac:dyDescent="0.3">
      <c r="G420" s="139"/>
      <c r="H420" s="139"/>
      <c r="I420" s="139"/>
      <c r="J420" s="139"/>
      <c r="K420" s="139"/>
      <c r="L420" s="139"/>
      <c r="M420" s="139"/>
    </row>
    <row r="421" spans="7:13" x14ac:dyDescent="0.3">
      <c r="G421" s="139"/>
      <c r="H421" s="139"/>
      <c r="I421" s="139"/>
      <c r="J421" s="139"/>
      <c r="K421" s="139"/>
      <c r="L421" s="139"/>
      <c r="M421" s="139"/>
    </row>
    <row r="422" spans="7:13" x14ac:dyDescent="0.3">
      <c r="G422" s="139"/>
      <c r="H422" s="139"/>
      <c r="I422" s="139"/>
      <c r="J422" s="139"/>
      <c r="K422" s="139"/>
      <c r="L422" s="139"/>
      <c r="M422" s="139"/>
    </row>
    <row r="423" spans="7:13" x14ac:dyDescent="0.3">
      <c r="G423" s="139"/>
      <c r="H423" s="139"/>
      <c r="I423" s="139"/>
      <c r="J423" s="139"/>
      <c r="K423" s="139"/>
      <c r="L423" s="139"/>
      <c r="M423" s="139"/>
    </row>
    <row r="424" spans="7:13" x14ac:dyDescent="0.3">
      <c r="G424" s="139"/>
      <c r="H424" s="139"/>
      <c r="I424" s="139"/>
      <c r="J424" s="139"/>
      <c r="K424" s="139"/>
      <c r="L424" s="139"/>
      <c r="M424" s="139"/>
    </row>
    <row r="425" spans="7:13" x14ac:dyDescent="0.3">
      <c r="G425" s="139"/>
      <c r="H425" s="139"/>
      <c r="I425" s="139"/>
      <c r="J425" s="139"/>
      <c r="K425" s="139"/>
      <c r="L425" s="139"/>
      <c r="M425" s="139"/>
    </row>
    <row r="426" spans="7:13" x14ac:dyDescent="0.3">
      <c r="G426" s="139"/>
      <c r="H426" s="139"/>
      <c r="I426" s="139"/>
      <c r="J426" s="139"/>
      <c r="K426" s="139"/>
      <c r="L426" s="139"/>
      <c r="M426" s="139"/>
    </row>
    <row r="427" spans="7:13" x14ac:dyDescent="0.3">
      <c r="G427" s="139"/>
      <c r="H427" s="139"/>
      <c r="I427" s="139"/>
      <c r="J427" s="139"/>
      <c r="K427" s="139"/>
      <c r="L427" s="139"/>
      <c r="M427" s="139"/>
    </row>
    <row r="428" spans="7:13" x14ac:dyDescent="0.3">
      <c r="G428" s="139"/>
      <c r="H428" s="139"/>
      <c r="I428" s="139"/>
      <c r="J428" s="139"/>
      <c r="K428" s="139"/>
      <c r="L428" s="139"/>
      <c r="M428" s="139"/>
    </row>
    <row r="429" spans="7:13" x14ac:dyDescent="0.3">
      <c r="G429" s="139"/>
      <c r="H429" s="139"/>
      <c r="I429" s="139"/>
      <c r="J429" s="139"/>
      <c r="K429" s="139"/>
      <c r="L429" s="139"/>
      <c r="M429" s="139"/>
    </row>
    <row r="430" spans="7:13" x14ac:dyDescent="0.3">
      <c r="G430" s="139"/>
      <c r="H430" s="139"/>
      <c r="I430" s="139"/>
      <c r="J430" s="139"/>
      <c r="K430" s="139"/>
      <c r="L430" s="139"/>
      <c r="M430" s="139"/>
    </row>
    <row r="431" spans="7:13" x14ac:dyDescent="0.3">
      <c r="G431" s="139"/>
      <c r="H431" s="139"/>
      <c r="I431" s="139"/>
      <c r="J431" s="139"/>
      <c r="K431" s="139"/>
      <c r="L431" s="139"/>
      <c r="M431" s="139"/>
    </row>
    <row r="432" spans="7:13" x14ac:dyDescent="0.3">
      <c r="G432" s="139"/>
      <c r="H432" s="139"/>
      <c r="I432" s="139"/>
      <c r="J432" s="139"/>
      <c r="K432" s="139"/>
      <c r="L432" s="139"/>
      <c r="M432" s="139"/>
    </row>
    <row r="433" spans="7:13" x14ac:dyDescent="0.3">
      <c r="G433" s="139"/>
      <c r="H433" s="139"/>
      <c r="I433" s="139"/>
      <c r="J433" s="139"/>
      <c r="K433" s="139"/>
      <c r="L433" s="139"/>
      <c r="M433" s="139"/>
    </row>
    <row r="434" spans="7:13" x14ac:dyDescent="0.3">
      <c r="G434" s="139"/>
      <c r="H434" s="139"/>
      <c r="I434" s="139"/>
      <c r="J434" s="139"/>
      <c r="K434" s="139"/>
      <c r="L434" s="139"/>
      <c r="M434" s="139"/>
    </row>
    <row r="435" spans="7:13" x14ac:dyDescent="0.3">
      <c r="G435" s="139"/>
      <c r="H435" s="139"/>
      <c r="I435" s="139"/>
      <c r="J435" s="139"/>
      <c r="K435" s="139"/>
      <c r="L435" s="139"/>
      <c r="M435" s="139"/>
    </row>
    <row r="436" spans="7:13" x14ac:dyDescent="0.3">
      <c r="G436" s="139"/>
      <c r="H436" s="139"/>
      <c r="I436" s="139"/>
      <c r="J436" s="139"/>
      <c r="K436" s="139"/>
      <c r="L436" s="139"/>
      <c r="M436" s="139"/>
    </row>
    <row r="437" spans="7:13" x14ac:dyDescent="0.3">
      <c r="G437" s="139"/>
      <c r="H437" s="139"/>
      <c r="I437" s="139"/>
      <c r="J437" s="139"/>
      <c r="K437" s="139"/>
      <c r="L437" s="139"/>
      <c r="M437" s="139"/>
    </row>
    <row r="438" spans="7:13" x14ac:dyDescent="0.3">
      <c r="G438" s="139"/>
      <c r="H438" s="139"/>
      <c r="I438" s="139"/>
      <c r="J438" s="139"/>
      <c r="K438" s="139"/>
      <c r="L438" s="139"/>
      <c r="M438" s="139"/>
    </row>
    <row r="439" spans="7:13" x14ac:dyDescent="0.3">
      <c r="G439" s="139"/>
      <c r="H439" s="139"/>
      <c r="I439" s="139"/>
      <c r="J439" s="139"/>
      <c r="K439" s="139"/>
      <c r="L439" s="139"/>
      <c r="M439" s="139"/>
    </row>
    <row r="440" spans="7:13" x14ac:dyDescent="0.3">
      <c r="G440" s="139"/>
      <c r="H440" s="139"/>
      <c r="I440" s="139"/>
      <c r="J440" s="139"/>
      <c r="K440" s="139"/>
      <c r="L440" s="139"/>
      <c r="M440" s="139"/>
    </row>
    <row r="441" spans="7:13" x14ac:dyDescent="0.3">
      <c r="G441" s="139"/>
      <c r="H441" s="139"/>
      <c r="I441" s="139"/>
      <c r="J441" s="139"/>
      <c r="K441" s="139"/>
      <c r="L441" s="139"/>
      <c r="M441" s="139"/>
    </row>
    <row r="442" spans="7:13" x14ac:dyDescent="0.3">
      <c r="G442" s="139"/>
      <c r="H442" s="139"/>
      <c r="I442" s="139"/>
      <c r="J442" s="139"/>
      <c r="K442" s="139"/>
      <c r="L442" s="139"/>
      <c r="M442" s="139"/>
    </row>
    <row r="443" spans="7:13" x14ac:dyDescent="0.3">
      <c r="G443" s="139"/>
      <c r="H443" s="139"/>
      <c r="I443" s="139"/>
      <c r="J443" s="139"/>
      <c r="K443" s="139"/>
      <c r="L443" s="139"/>
      <c r="M443" s="139"/>
    </row>
    <row r="444" spans="7:13" x14ac:dyDescent="0.3">
      <c r="G444" s="139"/>
      <c r="H444" s="139"/>
      <c r="I444" s="139"/>
      <c r="J444" s="139"/>
      <c r="K444" s="139"/>
      <c r="L444" s="139"/>
      <c r="M444" s="139"/>
    </row>
    <row r="445" spans="7:13" x14ac:dyDescent="0.3">
      <c r="G445" s="139"/>
      <c r="H445" s="139"/>
      <c r="I445" s="139"/>
      <c r="J445" s="139"/>
      <c r="K445" s="139"/>
      <c r="L445" s="139"/>
      <c r="M445" s="139"/>
    </row>
    <row r="446" spans="7:13" x14ac:dyDescent="0.3">
      <c r="G446" s="139"/>
      <c r="H446" s="139"/>
      <c r="I446" s="139"/>
      <c r="J446" s="139"/>
      <c r="K446" s="139"/>
      <c r="L446" s="139"/>
      <c r="M446" s="139"/>
    </row>
    <row r="447" spans="7:13" x14ac:dyDescent="0.3">
      <c r="G447" s="139"/>
      <c r="H447" s="139"/>
      <c r="I447" s="139"/>
      <c r="J447" s="139"/>
      <c r="K447" s="139"/>
      <c r="L447" s="139"/>
      <c r="M447" s="139"/>
    </row>
    <row r="448" spans="7:13" x14ac:dyDescent="0.3">
      <c r="G448" s="139"/>
      <c r="H448" s="139"/>
      <c r="I448" s="139"/>
      <c r="J448" s="139"/>
      <c r="K448" s="139"/>
      <c r="L448" s="139"/>
      <c r="M448" s="139"/>
    </row>
    <row r="449" spans="7:13" x14ac:dyDescent="0.3">
      <c r="G449" s="139"/>
      <c r="H449" s="139"/>
      <c r="I449" s="139"/>
      <c r="J449" s="139"/>
      <c r="K449" s="139"/>
      <c r="L449" s="139"/>
      <c r="M449" s="139"/>
    </row>
    <row r="450" spans="7:13" x14ac:dyDescent="0.3">
      <c r="G450" s="139"/>
      <c r="H450" s="139"/>
      <c r="I450" s="139"/>
      <c r="J450" s="139"/>
      <c r="K450" s="139"/>
      <c r="L450" s="139"/>
      <c r="M450" s="139"/>
    </row>
    <row r="451" spans="7:13" x14ac:dyDescent="0.3">
      <c r="G451" s="139"/>
      <c r="H451" s="139"/>
      <c r="I451" s="139"/>
      <c r="J451" s="139"/>
      <c r="K451" s="139"/>
      <c r="L451" s="139"/>
      <c r="M451" s="139"/>
    </row>
    <row r="452" spans="7:13" x14ac:dyDescent="0.3">
      <c r="G452" s="139"/>
      <c r="H452" s="139"/>
      <c r="I452" s="139"/>
      <c r="J452" s="139"/>
      <c r="K452" s="139"/>
      <c r="L452" s="139"/>
      <c r="M452" s="139"/>
    </row>
    <row r="453" spans="7:13" x14ac:dyDescent="0.3">
      <c r="G453" s="139"/>
      <c r="H453" s="139"/>
      <c r="I453" s="139"/>
      <c r="J453" s="139"/>
      <c r="K453" s="139"/>
      <c r="L453" s="139"/>
      <c r="M453" s="139"/>
    </row>
    <row r="454" spans="7:13" x14ac:dyDescent="0.3">
      <c r="G454" s="139"/>
      <c r="H454" s="139"/>
      <c r="I454" s="139"/>
      <c r="J454" s="139"/>
      <c r="K454" s="139"/>
      <c r="L454" s="139"/>
      <c r="M454" s="139"/>
    </row>
    <row r="455" spans="7:13" x14ac:dyDescent="0.3">
      <c r="G455" s="139"/>
      <c r="H455" s="139"/>
      <c r="I455" s="139"/>
      <c r="J455" s="139"/>
      <c r="K455" s="139"/>
      <c r="L455" s="139"/>
      <c r="M455" s="139"/>
    </row>
    <row r="456" spans="7:13" x14ac:dyDescent="0.3">
      <c r="G456" s="139"/>
      <c r="H456" s="139"/>
      <c r="I456" s="139"/>
      <c r="J456" s="139"/>
      <c r="K456" s="139"/>
      <c r="L456" s="139"/>
      <c r="M456" s="139"/>
    </row>
    <row r="457" spans="7:13" x14ac:dyDescent="0.3">
      <c r="G457" s="139"/>
      <c r="H457" s="139"/>
      <c r="I457" s="139"/>
      <c r="J457" s="139"/>
      <c r="K457" s="139"/>
      <c r="L457" s="139"/>
      <c r="M457" s="139"/>
    </row>
    <row r="458" spans="7:13" x14ac:dyDescent="0.3">
      <c r="G458" s="139"/>
      <c r="H458" s="139"/>
      <c r="I458" s="139"/>
      <c r="J458" s="139"/>
      <c r="K458" s="139"/>
      <c r="L458" s="139"/>
      <c r="M458" s="139"/>
    </row>
    <row r="459" spans="7:13" x14ac:dyDescent="0.3">
      <c r="G459" s="139"/>
      <c r="H459" s="139"/>
      <c r="I459" s="139"/>
      <c r="J459" s="139"/>
      <c r="K459" s="139"/>
      <c r="L459" s="139"/>
      <c r="M459" s="139"/>
    </row>
    <row r="460" spans="7:13" x14ac:dyDescent="0.3">
      <c r="G460" s="139"/>
      <c r="H460" s="139"/>
      <c r="I460" s="139"/>
      <c r="J460" s="139"/>
      <c r="K460" s="139"/>
      <c r="L460" s="139"/>
      <c r="M460" s="139"/>
    </row>
    <row r="461" spans="7:13" x14ac:dyDescent="0.3">
      <c r="G461" s="139"/>
      <c r="H461" s="139"/>
      <c r="I461" s="139"/>
      <c r="J461" s="139"/>
      <c r="K461" s="139"/>
      <c r="L461" s="139"/>
      <c r="M461" s="139"/>
    </row>
    <row r="462" spans="7:13" x14ac:dyDescent="0.3">
      <c r="G462" s="139"/>
      <c r="H462" s="139"/>
      <c r="I462" s="139"/>
      <c r="J462" s="139"/>
      <c r="K462" s="139"/>
      <c r="L462" s="139"/>
      <c r="M462" s="139"/>
    </row>
    <row r="463" spans="7:13" x14ac:dyDescent="0.3">
      <c r="G463" s="139"/>
      <c r="H463" s="139"/>
      <c r="I463" s="139"/>
      <c r="J463" s="139"/>
      <c r="K463" s="139"/>
      <c r="L463" s="139"/>
      <c r="M463" s="139"/>
    </row>
    <row r="464" spans="7:13" x14ac:dyDescent="0.3">
      <c r="G464" s="139"/>
      <c r="H464" s="139"/>
      <c r="I464" s="139"/>
      <c r="J464" s="139"/>
      <c r="K464" s="139"/>
      <c r="L464" s="139"/>
      <c r="M464" s="139"/>
    </row>
    <row r="465" spans="7:13" x14ac:dyDescent="0.3">
      <c r="G465" s="139"/>
      <c r="H465" s="139"/>
      <c r="I465" s="139"/>
      <c r="J465" s="139"/>
      <c r="K465" s="139"/>
      <c r="L465" s="139"/>
      <c r="M465" s="139"/>
    </row>
    <row r="466" spans="7:13" x14ac:dyDescent="0.3">
      <c r="G466" s="139"/>
      <c r="H466" s="139"/>
      <c r="I466" s="139"/>
      <c r="J466" s="139"/>
      <c r="K466" s="139"/>
      <c r="L466" s="139"/>
      <c r="M466" s="139"/>
    </row>
    <row r="467" spans="7:13" x14ac:dyDescent="0.3">
      <c r="G467" s="139"/>
      <c r="H467" s="139"/>
      <c r="I467" s="139"/>
      <c r="J467" s="139"/>
      <c r="K467" s="139"/>
      <c r="L467" s="139"/>
      <c r="M467" s="139"/>
    </row>
    <row r="468" spans="7:13" x14ac:dyDescent="0.3">
      <c r="G468" s="139"/>
      <c r="H468" s="139"/>
      <c r="I468" s="139"/>
      <c r="J468" s="139"/>
      <c r="K468" s="139"/>
      <c r="L468" s="139"/>
      <c r="M468" s="139"/>
    </row>
    <row r="469" spans="7:13" x14ac:dyDescent="0.3">
      <c r="G469" s="139"/>
      <c r="H469" s="139"/>
      <c r="I469" s="139"/>
      <c r="J469" s="139"/>
      <c r="K469" s="139"/>
      <c r="L469" s="139"/>
      <c r="M469" s="139"/>
    </row>
    <row r="470" spans="7:13" x14ac:dyDescent="0.3">
      <c r="G470" s="139"/>
      <c r="H470" s="139"/>
      <c r="I470" s="139"/>
      <c r="J470" s="139"/>
      <c r="K470" s="139"/>
      <c r="L470" s="139"/>
      <c r="M470" s="139"/>
    </row>
    <row r="471" spans="7:13" x14ac:dyDescent="0.3">
      <c r="G471" s="139"/>
      <c r="H471" s="139"/>
      <c r="I471" s="139"/>
      <c r="J471" s="139"/>
      <c r="K471" s="139"/>
      <c r="L471" s="139"/>
      <c r="M471" s="139"/>
    </row>
    <row r="472" spans="7:13" x14ac:dyDescent="0.3">
      <c r="G472" s="139"/>
      <c r="H472" s="139"/>
      <c r="I472" s="139"/>
      <c r="J472" s="139"/>
      <c r="K472" s="139"/>
      <c r="L472" s="139"/>
      <c r="M472" s="139"/>
    </row>
    <row r="473" spans="7:13" x14ac:dyDescent="0.3">
      <c r="G473" s="139"/>
      <c r="H473" s="139"/>
      <c r="I473" s="139"/>
      <c r="J473" s="139"/>
      <c r="K473" s="139"/>
      <c r="L473" s="139"/>
      <c r="M473" s="139"/>
    </row>
    <row r="474" spans="7:13" x14ac:dyDescent="0.3">
      <c r="G474" s="139"/>
      <c r="H474" s="139"/>
      <c r="I474" s="139"/>
      <c r="J474" s="139"/>
      <c r="K474" s="139"/>
      <c r="L474" s="139"/>
      <c r="M474" s="139"/>
    </row>
    <row r="475" spans="7:13" x14ac:dyDescent="0.3">
      <c r="G475" s="139"/>
      <c r="H475" s="139"/>
      <c r="I475" s="139"/>
      <c r="J475" s="139"/>
      <c r="K475" s="139"/>
      <c r="L475" s="139"/>
      <c r="M475" s="139"/>
    </row>
    <row r="476" spans="7:13" x14ac:dyDescent="0.3">
      <c r="G476" s="139"/>
      <c r="H476" s="139"/>
      <c r="I476" s="139"/>
      <c r="J476" s="139"/>
      <c r="K476" s="139"/>
      <c r="L476" s="139"/>
      <c r="M476" s="139"/>
    </row>
    <row r="477" spans="7:13" x14ac:dyDescent="0.3">
      <c r="G477" s="139"/>
      <c r="H477" s="139"/>
      <c r="I477" s="139"/>
      <c r="J477" s="139"/>
      <c r="K477" s="139"/>
      <c r="L477" s="139"/>
      <c r="M477" s="139"/>
    </row>
    <row r="478" spans="7:13" x14ac:dyDescent="0.3">
      <c r="G478" s="139"/>
      <c r="H478" s="139"/>
      <c r="I478" s="139"/>
      <c r="J478" s="139"/>
      <c r="K478" s="139"/>
      <c r="L478" s="139"/>
      <c r="M478" s="139"/>
    </row>
    <row r="479" spans="7:13" x14ac:dyDescent="0.3">
      <c r="G479" s="139"/>
      <c r="H479" s="139"/>
      <c r="I479" s="139"/>
      <c r="J479" s="139"/>
      <c r="K479" s="139"/>
      <c r="L479" s="139"/>
      <c r="M479" s="139"/>
    </row>
    <row r="480" spans="7:13" x14ac:dyDescent="0.3">
      <c r="G480" s="139"/>
      <c r="H480" s="139"/>
      <c r="I480" s="139"/>
      <c r="J480" s="139"/>
      <c r="K480" s="139"/>
      <c r="L480" s="139"/>
      <c r="M480" s="139"/>
    </row>
    <row r="481" spans="7:13" x14ac:dyDescent="0.3">
      <c r="G481" s="139"/>
      <c r="H481" s="139"/>
      <c r="I481" s="139"/>
      <c r="J481" s="139"/>
      <c r="K481" s="139"/>
      <c r="L481" s="139"/>
      <c r="M481" s="139"/>
    </row>
    <row r="482" spans="7:13" x14ac:dyDescent="0.3">
      <c r="G482" s="139"/>
      <c r="H482" s="139"/>
      <c r="I482" s="139"/>
      <c r="J482" s="139"/>
      <c r="K482" s="139"/>
      <c r="L482" s="139"/>
      <c r="M482" s="139"/>
    </row>
    <row r="483" spans="7:13" x14ac:dyDescent="0.3">
      <c r="G483" s="139"/>
      <c r="H483" s="139"/>
      <c r="I483" s="139"/>
      <c r="J483" s="139"/>
      <c r="K483" s="139"/>
      <c r="L483" s="139"/>
      <c r="M483" s="139"/>
    </row>
    <row r="484" spans="7:13" x14ac:dyDescent="0.3">
      <c r="G484" s="139"/>
      <c r="H484" s="139"/>
      <c r="I484" s="139"/>
      <c r="J484" s="139"/>
      <c r="K484" s="139"/>
      <c r="L484" s="139"/>
      <c r="M484" s="139"/>
    </row>
    <row r="485" spans="7:13" x14ac:dyDescent="0.3">
      <c r="G485" s="139"/>
      <c r="H485" s="139"/>
      <c r="I485" s="139"/>
      <c r="J485" s="139"/>
      <c r="K485" s="139"/>
      <c r="L485" s="139"/>
      <c r="M485" s="139"/>
    </row>
    <row r="486" spans="7:13" x14ac:dyDescent="0.3">
      <c r="G486" s="139"/>
      <c r="H486" s="139"/>
      <c r="I486" s="139"/>
      <c r="J486" s="139"/>
      <c r="K486" s="139"/>
      <c r="L486" s="139"/>
      <c r="M486" s="139"/>
    </row>
    <row r="487" spans="7:13" x14ac:dyDescent="0.3">
      <c r="G487" s="139"/>
      <c r="H487" s="139"/>
      <c r="I487" s="139"/>
      <c r="J487" s="139"/>
      <c r="K487" s="139"/>
      <c r="L487" s="139"/>
      <c r="M487" s="139"/>
    </row>
    <row r="488" spans="7:13" x14ac:dyDescent="0.3">
      <c r="G488" s="139"/>
      <c r="H488" s="139"/>
      <c r="I488" s="139"/>
      <c r="J488" s="139"/>
      <c r="K488" s="139"/>
      <c r="L488" s="139"/>
      <c r="M488" s="139"/>
    </row>
    <row r="489" spans="7:13" x14ac:dyDescent="0.3">
      <c r="G489" s="139"/>
      <c r="H489" s="139"/>
      <c r="I489" s="139"/>
      <c r="J489" s="139"/>
      <c r="K489" s="139"/>
      <c r="L489" s="139"/>
      <c r="M489" s="139"/>
    </row>
    <row r="490" spans="7:13" x14ac:dyDescent="0.3">
      <c r="G490" s="139"/>
      <c r="H490" s="139"/>
      <c r="I490" s="139"/>
      <c r="J490" s="139"/>
      <c r="K490" s="139"/>
      <c r="L490" s="139"/>
      <c r="M490" s="139"/>
    </row>
    <row r="491" spans="7:13" x14ac:dyDescent="0.3">
      <c r="G491" s="139"/>
      <c r="H491" s="139"/>
      <c r="I491" s="139"/>
      <c r="J491" s="139"/>
      <c r="K491" s="139"/>
      <c r="L491" s="139"/>
      <c r="M491" s="139"/>
    </row>
    <row r="492" spans="7:13" x14ac:dyDescent="0.3">
      <c r="G492" s="139"/>
      <c r="H492" s="139"/>
      <c r="I492" s="139"/>
      <c r="J492" s="139"/>
      <c r="K492" s="139"/>
      <c r="L492" s="139"/>
      <c r="M492" s="139"/>
    </row>
    <row r="493" spans="7:13" x14ac:dyDescent="0.3">
      <c r="G493" s="139"/>
      <c r="H493" s="139"/>
      <c r="I493" s="139"/>
      <c r="J493" s="139"/>
      <c r="K493" s="139"/>
      <c r="L493" s="139"/>
      <c r="M493" s="139"/>
    </row>
    <row r="494" spans="7:13" x14ac:dyDescent="0.3">
      <c r="G494" s="139"/>
      <c r="H494" s="139"/>
      <c r="I494" s="139"/>
      <c r="J494" s="139"/>
      <c r="K494" s="139"/>
      <c r="L494" s="139"/>
      <c r="M494" s="139"/>
    </row>
    <row r="495" spans="7:13" x14ac:dyDescent="0.3">
      <c r="G495" s="139"/>
      <c r="H495" s="139"/>
      <c r="I495" s="139"/>
      <c r="J495" s="139"/>
      <c r="K495" s="139"/>
      <c r="L495" s="139"/>
      <c r="M495" s="139"/>
    </row>
    <row r="496" spans="7:13" x14ac:dyDescent="0.3">
      <c r="G496" s="139"/>
      <c r="H496" s="139"/>
      <c r="I496" s="139"/>
      <c r="J496" s="139"/>
      <c r="K496" s="139"/>
      <c r="L496" s="139"/>
      <c r="M496" s="139"/>
    </row>
    <row r="497" spans="7:13" x14ac:dyDescent="0.3">
      <c r="G497" s="139"/>
      <c r="H497" s="139"/>
      <c r="I497" s="139"/>
      <c r="J497" s="139"/>
      <c r="K497" s="139"/>
      <c r="L497" s="139"/>
      <c r="M497" s="139"/>
    </row>
    <row r="498" spans="7:13" x14ac:dyDescent="0.3">
      <c r="G498" s="139"/>
      <c r="H498" s="139"/>
      <c r="I498" s="139"/>
      <c r="J498" s="139"/>
      <c r="K498" s="139"/>
      <c r="L498" s="139"/>
      <c r="M498" s="139"/>
    </row>
    <row r="499" spans="7:13" x14ac:dyDescent="0.3">
      <c r="G499" s="139"/>
      <c r="H499" s="139"/>
      <c r="I499" s="139"/>
      <c r="J499" s="139"/>
      <c r="K499" s="139"/>
      <c r="L499" s="139"/>
      <c r="M499" s="139"/>
    </row>
    <row r="500" spans="7:13" x14ac:dyDescent="0.3">
      <c r="G500" s="139"/>
      <c r="H500" s="139"/>
      <c r="I500" s="139"/>
      <c r="J500" s="139"/>
      <c r="K500" s="139"/>
      <c r="L500" s="139"/>
      <c r="M500" s="139"/>
    </row>
    <row r="501" spans="7:13" x14ac:dyDescent="0.3">
      <c r="G501" s="139"/>
      <c r="H501" s="139"/>
      <c r="I501" s="139"/>
      <c r="J501" s="139"/>
      <c r="K501" s="139"/>
      <c r="L501" s="139"/>
      <c r="M501" s="139"/>
    </row>
    <row r="502" spans="7:13" x14ac:dyDescent="0.3">
      <c r="G502" s="139"/>
      <c r="H502" s="139"/>
      <c r="I502" s="139"/>
      <c r="J502" s="139"/>
      <c r="K502" s="139"/>
      <c r="L502" s="139"/>
      <c r="M502" s="139"/>
    </row>
    <row r="503" spans="7:13" x14ac:dyDescent="0.3">
      <c r="G503" s="139"/>
      <c r="H503" s="139"/>
      <c r="I503" s="139"/>
      <c r="J503" s="139"/>
      <c r="K503" s="139"/>
      <c r="L503" s="139"/>
      <c r="M503" s="139"/>
    </row>
    <row r="504" spans="7:13" x14ac:dyDescent="0.3">
      <c r="G504" s="139"/>
      <c r="H504" s="139"/>
      <c r="I504" s="139"/>
      <c r="J504" s="139"/>
      <c r="K504" s="139"/>
      <c r="L504" s="139"/>
      <c r="M504" s="139"/>
    </row>
    <row r="505" spans="7:13" x14ac:dyDescent="0.3">
      <c r="G505" s="139"/>
      <c r="H505" s="139"/>
      <c r="I505" s="139"/>
      <c r="J505" s="139"/>
      <c r="K505" s="139"/>
      <c r="L505" s="139"/>
      <c r="M505" s="139"/>
    </row>
    <row r="506" spans="7:13" x14ac:dyDescent="0.3">
      <c r="G506" s="139"/>
      <c r="H506" s="139"/>
      <c r="I506" s="139"/>
      <c r="J506" s="139"/>
      <c r="K506" s="139"/>
      <c r="L506" s="139"/>
      <c r="M506" s="139"/>
    </row>
    <row r="507" spans="7:13" x14ac:dyDescent="0.3">
      <c r="G507" s="139"/>
      <c r="H507" s="139"/>
      <c r="I507" s="139"/>
      <c r="J507" s="139"/>
      <c r="K507" s="139"/>
      <c r="L507" s="139"/>
      <c r="M507" s="139"/>
    </row>
    <row r="508" spans="7:13" x14ac:dyDescent="0.3">
      <c r="G508" s="139"/>
      <c r="H508" s="139"/>
      <c r="I508" s="139"/>
      <c r="J508" s="139"/>
      <c r="K508" s="139"/>
      <c r="L508" s="139"/>
      <c r="M508" s="139"/>
    </row>
    <row r="509" spans="7:13" x14ac:dyDescent="0.3">
      <c r="G509" s="139"/>
      <c r="H509" s="139"/>
      <c r="I509" s="139"/>
      <c r="J509" s="139"/>
      <c r="K509" s="139"/>
      <c r="L509" s="139"/>
      <c r="M509" s="139"/>
    </row>
    <row r="510" spans="7:13" x14ac:dyDescent="0.3">
      <c r="G510" s="139"/>
      <c r="H510" s="139"/>
      <c r="I510" s="139"/>
      <c r="J510" s="139"/>
      <c r="K510" s="139"/>
      <c r="L510" s="139"/>
      <c r="M510" s="139"/>
    </row>
    <row r="511" spans="7:13" x14ac:dyDescent="0.3">
      <c r="G511" s="139"/>
      <c r="H511" s="139"/>
      <c r="I511" s="139"/>
      <c r="J511" s="139"/>
      <c r="K511" s="139"/>
      <c r="L511" s="139"/>
      <c r="M511" s="139"/>
    </row>
    <row r="512" spans="7:13" x14ac:dyDescent="0.3">
      <c r="G512" s="139"/>
      <c r="H512" s="139"/>
      <c r="I512" s="139"/>
      <c r="J512" s="139"/>
      <c r="K512" s="139"/>
      <c r="L512" s="139"/>
      <c r="M512" s="139"/>
    </row>
    <row r="513" spans="7:13" x14ac:dyDescent="0.3">
      <c r="G513" s="139"/>
      <c r="H513" s="139"/>
      <c r="I513" s="139"/>
      <c r="J513" s="139"/>
      <c r="K513" s="139"/>
      <c r="L513" s="139"/>
      <c r="M513" s="139"/>
    </row>
    <row r="514" spans="7:13" x14ac:dyDescent="0.3">
      <c r="G514" s="139"/>
      <c r="H514" s="139"/>
      <c r="I514" s="139"/>
      <c r="J514" s="139"/>
      <c r="K514" s="139"/>
      <c r="L514" s="139"/>
      <c r="M514" s="139"/>
    </row>
    <row r="515" spans="7:13" x14ac:dyDescent="0.3">
      <c r="G515" s="139"/>
      <c r="H515" s="139"/>
      <c r="I515" s="139"/>
      <c r="J515" s="139"/>
      <c r="K515" s="139"/>
      <c r="L515" s="139"/>
      <c r="M515" s="139"/>
    </row>
    <row r="516" spans="7:13" x14ac:dyDescent="0.3">
      <c r="G516" s="139"/>
      <c r="H516" s="139"/>
      <c r="I516" s="139"/>
      <c r="J516" s="139"/>
      <c r="K516" s="139"/>
      <c r="L516" s="139"/>
      <c r="M516" s="139"/>
    </row>
    <row r="517" spans="7:13" x14ac:dyDescent="0.3">
      <c r="G517" s="139"/>
      <c r="H517" s="139"/>
      <c r="I517" s="139"/>
      <c r="J517" s="139"/>
      <c r="K517" s="139"/>
      <c r="L517" s="139"/>
      <c r="M517" s="139"/>
    </row>
    <row r="518" spans="7:13" x14ac:dyDescent="0.3">
      <c r="G518" s="139"/>
      <c r="H518" s="139"/>
      <c r="I518" s="139"/>
      <c r="J518" s="139"/>
      <c r="K518" s="139"/>
      <c r="L518" s="139"/>
      <c r="M518" s="139"/>
    </row>
    <row r="519" spans="7:13" x14ac:dyDescent="0.3">
      <c r="G519" s="139"/>
      <c r="H519" s="139"/>
      <c r="I519" s="139"/>
      <c r="J519" s="139"/>
      <c r="K519" s="139"/>
      <c r="L519" s="139"/>
      <c r="M519" s="139"/>
    </row>
    <row r="520" spans="7:13" x14ac:dyDescent="0.3">
      <c r="G520" s="139"/>
      <c r="H520" s="139"/>
      <c r="I520" s="139"/>
      <c r="J520" s="139"/>
      <c r="K520" s="139"/>
      <c r="L520" s="139"/>
      <c r="M520" s="139"/>
    </row>
    <row r="521" spans="7:13" x14ac:dyDescent="0.3">
      <c r="G521" s="139"/>
      <c r="H521" s="139"/>
      <c r="I521" s="139"/>
      <c r="J521" s="139"/>
      <c r="K521" s="139"/>
      <c r="L521" s="139"/>
      <c r="M521" s="139"/>
    </row>
    <row r="522" spans="7:13" x14ac:dyDescent="0.3">
      <c r="G522" s="139"/>
      <c r="H522" s="139"/>
      <c r="I522" s="139"/>
      <c r="J522" s="139"/>
      <c r="K522" s="139"/>
      <c r="L522" s="139"/>
      <c r="M522" s="139"/>
    </row>
    <row r="523" spans="7:13" x14ac:dyDescent="0.3">
      <c r="G523" s="139"/>
      <c r="H523" s="139"/>
      <c r="I523" s="139"/>
      <c r="J523" s="139"/>
      <c r="K523" s="139"/>
      <c r="L523" s="139"/>
      <c r="M523" s="139"/>
    </row>
    <row r="524" spans="7:13" x14ac:dyDescent="0.3">
      <c r="G524" s="139"/>
      <c r="H524" s="139"/>
      <c r="I524" s="139"/>
      <c r="J524" s="139"/>
      <c r="K524" s="139"/>
      <c r="L524" s="139"/>
      <c r="M524" s="139"/>
    </row>
    <row r="525" spans="7:13" x14ac:dyDescent="0.3">
      <c r="G525" s="139"/>
      <c r="H525" s="139"/>
      <c r="I525" s="139"/>
      <c r="J525" s="139"/>
      <c r="K525" s="139"/>
      <c r="L525" s="139"/>
      <c r="M525" s="139"/>
    </row>
    <row r="526" spans="7:13" x14ac:dyDescent="0.3">
      <c r="G526" s="139"/>
      <c r="H526" s="139"/>
      <c r="I526" s="139"/>
      <c r="J526" s="139"/>
      <c r="K526" s="139"/>
      <c r="L526" s="139"/>
      <c r="M526" s="139"/>
    </row>
    <row r="527" spans="7:13" x14ac:dyDescent="0.3">
      <c r="G527" s="139"/>
      <c r="H527" s="139"/>
      <c r="I527" s="139"/>
      <c r="J527" s="139"/>
      <c r="K527" s="139"/>
      <c r="L527" s="139"/>
      <c r="M527" s="139"/>
    </row>
    <row r="528" spans="7:13" x14ac:dyDescent="0.3">
      <c r="G528" s="139"/>
      <c r="H528" s="139"/>
      <c r="I528" s="139"/>
      <c r="J528" s="139"/>
      <c r="K528" s="139"/>
      <c r="L528" s="139"/>
      <c r="M528" s="139"/>
    </row>
    <row r="529" spans="7:13" x14ac:dyDescent="0.3">
      <c r="G529" s="139"/>
      <c r="H529" s="139"/>
      <c r="I529" s="139"/>
      <c r="J529" s="139"/>
      <c r="K529" s="139"/>
      <c r="L529" s="139"/>
      <c r="M529" s="139"/>
    </row>
    <row r="530" spans="7:13" x14ac:dyDescent="0.3">
      <c r="G530" s="139"/>
      <c r="H530" s="139"/>
      <c r="I530" s="139"/>
      <c r="J530" s="139"/>
      <c r="K530" s="139"/>
      <c r="L530" s="139"/>
      <c r="M530" s="139"/>
    </row>
    <row r="531" spans="7:13" x14ac:dyDescent="0.3">
      <c r="G531" s="139"/>
      <c r="H531" s="139"/>
      <c r="I531" s="139"/>
      <c r="J531" s="139"/>
      <c r="K531" s="139"/>
      <c r="L531" s="139"/>
      <c r="M531" s="139"/>
    </row>
    <row r="532" spans="7:13" x14ac:dyDescent="0.3">
      <c r="G532" s="139"/>
      <c r="H532" s="139"/>
      <c r="I532" s="139"/>
      <c r="J532" s="139"/>
      <c r="K532" s="139"/>
      <c r="L532" s="139"/>
      <c r="M532" s="139"/>
    </row>
    <row r="533" spans="7:13" x14ac:dyDescent="0.3">
      <c r="G533" s="139"/>
      <c r="H533" s="139"/>
      <c r="I533" s="139"/>
      <c r="J533" s="139"/>
      <c r="K533" s="139"/>
      <c r="L533" s="139"/>
      <c r="M533" s="139"/>
    </row>
    <row r="534" spans="7:13" x14ac:dyDescent="0.3">
      <c r="G534" s="139"/>
      <c r="H534" s="139"/>
      <c r="I534" s="139"/>
      <c r="J534" s="139"/>
      <c r="K534" s="139"/>
      <c r="L534" s="139"/>
      <c r="M534" s="139"/>
    </row>
    <row r="535" spans="7:13" x14ac:dyDescent="0.3">
      <c r="G535" s="139"/>
      <c r="H535" s="139"/>
      <c r="I535" s="139"/>
      <c r="J535" s="139"/>
      <c r="K535" s="139"/>
      <c r="L535" s="139"/>
      <c r="M535" s="139"/>
    </row>
    <row r="536" spans="7:13" x14ac:dyDescent="0.3">
      <c r="G536" s="139"/>
      <c r="H536" s="139"/>
      <c r="I536" s="139"/>
      <c r="J536" s="139"/>
      <c r="K536" s="139"/>
      <c r="L536" s="139"/>
      <c r="M536" s="139"/>
    </row>
    <row r="537" spans="7:13" x14ac:dyDescent="0.3">
      <c r="G537" s="139"/>
      <c r="H537" s="139"/>
      <c r="I537" s="139"/>
      <c r="J537" s="139"/>
      <c r="K537" s="139"/>
      <c r="L537" s="139"/>
      <c r="M537" s="139"/>
    </row>
    <row r="538" spans="7:13" x14ac:dyDescent="0.3">
      <c r="G538" s="139"/>
      <c r="H538" s="139"/>
      <c r="I538" s="139"/>
      <c r="J538" s="139"/>
      <c r="K538" s="139"/>
      <c r="L538" s="139"/>
      <c r="M538" s="139"/>
    </row>
    <row r="539" spans="7:13" x14ac:dyDescent="0.3">
      <c r="G539" s="139"/>
      <c r="H539" s="139"/>
      <c r="I539" s="139"/>
      <c r="J539" s="139"/>
      <c r="K539" s="139"/>
      <c r="L539" s="139"/>
      <c r="M539" s="139"/>
    </row>
    <row r="540" spans="7:13" x14ac:dyDescent="0.3">
      <c r="G540" s="139"/>
      <c r="H540" s="139"/>
      <c r="I540" s="139"/>
      <c r="J540" s="139"/>
      <c r="K540" s="139"/>
      <c r="L540" s="139"/>
      <c r="M540" s="139"/>
    </row>
    <row r="541" spans="7:13" x14ac:dyDescent="0.3">
      <c r="G541" s="139"/>
      <c r="H541" s="139"/>
      <c r="I541" s="139"/>
      <c r="J541" s="139"/>
      <c r="K541" s="139"/>
      <c r="L541" s="139"/>
      <c r="M541" s="139"/>
    </row>
    <row r="542" spans="7:13" x14ac:dyDescent="0.3">
      <c r="G542" s="139"/>
      <c r="H542" s="139"/>
      <c r="I542" s="139"/>
      <c r="J542" s="139"/>
      <c r="K542" s="139"/>
      <c r="L542" s="139"/>
      <c r="M542" s="139"/>
    </row>
    <row r="543" spans="7:13" x14ac:dyDescent="0.3">
      <c r="G543" s="139"/>
      <c r="H543" s="139"/>
      <c r="I543" s="139"/>
      <c r="J543" s="139"/>
      <c r="K543" s="139"/>
      <c r="L543" s="139"/>
      <c r="M543" s="139"/>
    </row>
    <row r="544" spans="7:13" x14ac:dyDescent="0.3">
      <c r="G544" s="139"/>
      <c r="H544" s="139"/>
      <c r="I544" s="139"/>
      <c r="J544" s="139"/>
      <c r="K544" s="139"/>
      <c r="L544" s="139"/>
      <c r="M544" s="139"/>
    </row>
    <row r="545" spans="7:13" x14ac:dyDescent="0.3">
      <c r="G545" s="139"/>
      <c r="H545" s="139"/>
      <c r="I545" s="139"/>
      <c r="J545" s="139"/>
      <c r="K545" s="139"/>
      <c r="L545" s="139"/>
      <c r="M545" s="139"/>
    </row>
    <row r="546" spans="7:13" x14ac:dyDescent="0.3">
      <c r="G546" s="139"/>
      <c r="H546" s="139"/>
      <c r="I546" s="139"/>
      <c r="J546" s="139"/>
      <c r="K546" s="139"/>
      <c r="L546" s="139"/>
      <c r="M546" s="139"/>
    </row>
    <row r="547" spans="7:13" x14ac:dyDescent="0.3">
      <c r="G547" s="139"/>
      <c r="H547" s="139"/>
      <c r="I547" s="139"/>
      <c r="J547" s="139"/>
      <c r="K547" s="139"/>
      <c r="L547" s="139"/>
      <c r="M547" s="139"/>
    </row>
    <row r="548" spans="7:13" x14ac:dyDescent="0.3">
      <c r="G548" s="139"/>
      <c r="H548" s="139"/>
      <c r="I548" s="139"/>
      <c r="J548" s="139"/>
      <c r="K548" s="139"/>
      <c r="L548" s="139"/>
      <c r="M548" s="139"/>
    </row>
    <row r="549" spans="7:13" x14ac:dyDescent="0.3">
      <c r="G549" s="139"/>
      <c r="H549" s="139"/>
      <c r="I549" s="139"/>
      <c r="J549" s="139"/>
      <c r="K549" s="139"/>
      <c r="L549" s="139"/>
      <c r="M549" s="139"/>
    </row>
    <row r="550" spans="7:13" x14ac:dyDescent="0.3">
      <c r="G550" s="139"/>
      <c r="H550" s="139"/>
      <c r="I550" s="139"/>
      <c r="J550" s="139"/>
      <c r="K550" s="139"/>
      <c r="L550" s="139"/>
      <c r="M550" s="139"/>
    </row>
    <row r="551" spans="7:13" x14ac:dyDescent="0.3">
      <c r="G551" s="139"/>
      <c r="H551" s="139"/>
      <c r="I551" s="139"/>
      <c r="J551" s="139"/>
      <c r="K551" s="139"/>
      <c r="L551" s="139"/>
      <c r="M551" s="139"/>
    </row>
    <row r="552" spans="7:13" x14ac:dyDescent="0.3">
      <c r="G552" s="139"/>
      <c r="H552" s="139"/>
      <c r="I552" s="139"/>
      <c r="J552" s="139"/>
      <c r="K552" s="139"/>
      <c r="L552" s="139"/>
      <c r="M552" s="139"/>
    </row>
    <row r="553" spans="7:13" x14ac:dyDescent="0.3">
      <c r="G553" s="139"/>
      <c r="H553" s="139"/>
      <c r="I553" s="139"/>
      <c r="J553" s="139"/>
      <c r="K553" s="139"/>
      <c r="L553" s="139"/>
      <c r="M553" s="139"/>
    </row>
    <row r="554" spans="7:13" x14ac:dyDescent="0.3">
      <c r="G554" s="139"/>
      <c r="H554" s="139"/>
      <c r="I554" s="139"/>
      <c r="J554" s="139"/>
      <c r="K554" s="139"/>
      <c r="L554" s="139"/>
      <c r="M554" s="139"/>
    </row>
    <row r="555" spans="7:13" x14ac:dyDescent="0.3">
      <c r="G555" s="139"/>
      <c r="H555" s="139"/>
      <c r="I555" s="139"/>
      <c r="J555" s="139"/>
      <c r="K555" s="139"/>
      <c r="L555" s="139"/>
      <c r="M555" s="139"/>
    </row>
    <row r="556" spans="7:13" x14ac:dyDescent="0.3">
      <c r="G556" s="139"/>
      <c r="H556" s="139"/>
      <c r="I556" s="139"/>
      <c r="J556" s="139"/>
      <c r="K556" s="139"/>
      <c r="L556" s="139"/>
      <c r="M556" s="139"/>
    </row>
    <row r="557" spans="7:13" x14ac:dyDescent="0.3">
      <c r="G557" s="139"/>
      <c r="H557" s="139"/>
      <c r="I557" s="139"/>
      <c r="J557" s="139"/>
      <c r="K557" s="139"/>
      <c r="L557" s="139"/>
      <c r="M557" s="139"/>
    </row>
    <row r="558" spans="7:13" x14ac:dyDescent="0.3">
      <c r="G558" s="139"/>
      <c r="H558" s="139"/>
      <c r="I558" s="139"/>
      <c r="J558" s="139"/>
      <c r="K558" s="139"/>
      <c r="L558" s="139"/>
      <c r="M558" s="139"/>
    </row>
    <row r="559" spans="7:13" x14ac:dyDescent="0.3">
      <c r="G559" s="139"/>
      <c r="H559" s="139"/>
      <c r="I559" s="139"/>
      <c r="J559" s="139"/>
      <c r="K559" s="139"/>
      <c r="L559" s="139"/>
      <c r="M559" s="139"/>
    </row>
    <row r="560" spans="7:13" x14ac:dyDescent="0.3">
      <c r="G560" s="139"/>
      <c r="H560" s="139"/>
      <c r="I560" s="139"/>
      <c r="J560" s="139"/>
      <c r="K560" s="139"/>
      <c r="L560" s="139"/>
      <c r="M560" s="139"/>
    </row>
    <row r="561" spans="7:13" x14ac:dyDescent="0.3">
      <c r="G561" s="139"/>
      <c r="H561" s="139"/>
      <c r="I561" s="139"/>
      <c r="J561" s="139"/>
      <c r="K561" s="139"/>
      <c r="L561" s="139"/>
      <c r="M561" s="139"/>
    </row>
    <row r="562" spans="7:13" x14ac:dyDescent="0.3">
      <c r="G562" s="139"/>
      <c r="H562" s="139"/>
      <c r="I562" s="139"/>
      <c r="J562" s="139"/>
      <c r="K562" s="139"/>
      <c r="L562" s="139"/>
      <c r="M562" s="139"/>
    </row>
    <row r="563" spans="7:13" x14ac:dyDescent="0.3">
      <c r="G563" s="139"/>
      <c r="H563" s="139"/>
      <c r="I563" s="139"/>
      <c r="J563" s="139"/>
      <c r="K563" s="139"/>
      <c r="L563" s="139"/>
      <c r="M563" s="139"/>
    </row>
    <row r="564" spans="7:13" x14ac:dyDescent="0.3">
      <c r="G564" s="139"/>
      <c r="H564" s="139"/>
      <c r="I564" s="139"/>
      <c r="J564" s="139"/>
      <c r="K564" s="139"/>
      <c r="L564" s="139"/>
      <c r="M564" s="139"/>
    </row>
    <row r="565" spans="7:13" x14ac:dyDescent="0.3">
      <c r="G565" s="139"/>
      <c r="H565" s="139"/>
      <c r="I565" s="139"/>
      <c r="J565" s="139"/>
      <c r="K565" s="139"/>
      <c r="L565" s="139"/>
      <c r="M565" s="139"/>
    </row>
    <row r="566" spans="7:13" x14ac:dyDescent="0.3">
      <c r="G566" s="139"/>
      <c r="H566" s="139"/>
      <c r="I566" s="139"/>
      <c r="J566" s="139"/>
      <c r="K566" s="139"/>
      <c r="L566" s="139"/>
      <c r="M566" s="139"/>
    </row>
    <row r="567" spans="7:13" x14ac:dyDescent="0.3">
      <c r="G567" s="139"/>
      <c r="H567" s="139"/>
      <c r="I567" s="139"/>
      <c r="J567" s="139"/>
      <c r="K567" s="139"/>
      <c r="L567" s="139"/>
      <c r="M567" s="139"/>
    </row>
    <row r="568" spans="7:13" x14ac:dyDescent="0.3">
      <c r="G568" s="139"/>
      <c r="H568" s="139"/>
      <c r="I568" s="139"/>
      <c r="J568" s="139"/>
      <c r="K568" s="139"/>
      <c r="L568" s="139"/>
      <c r="M568" s="139"/>
    </row>
    <row r="569" spans="7:13" x14ac:dyDescent="0.3">
      <c r="G569" s="139"/>
      <c r="H569" s="139"/>
      <c r="I569" s="139"/>
      <c r="J569" s="139"/>
      <c r="K569" s="139"/>
      <c r="L569" s="139"/>
      <c r="M569" s="139"/>
    </row>
    <row r="570" spans="7:13" x14ac:dyDescent="0.3">
      <c r="G570" s="139"/>
      <c r="H570" s="139"/>
      <c r="I570" s="139"/>
      <c r="J570" s="139"/>
      <c r="K570" s="139"/>
      <c r="L570" s="139"/>
      <c r="M570" s="139"/>
    </row>
    <row r="571" spans="7:13" x14ac:dyDescent="0.3">
      <c r="G571" s="139"/>
      <c r="H571" s="139"/>
      <c r="I571" s="139"/>
      <c r="J571" s="139"/>
      <c r="K571" s="139"/>
      <c r="L571" s="139"/>
      <c r="M571" s="139"/>
    </row>
    <row r="572" spans="7:13" x14ac:dyDescent="0.3">
      <c r="G572" s="139"/>
      <c r="H572" s="139"/>
      <c r="I572" s="139"/>
      <c r="J572" s="139"/>
      <c r="K572" s="139"/>
      <c r="L572" s="139"/>
      <c r="M572" s="139"/>
    </row>
    <row r="573" spans="7:13" x14ac:dyDescent="0.3">
      <c r="G573" s="139"/>
      <c r="H573" s="139"/>
      <c r="I573" s="139"/>
      <c r="J573" s="139"/>
      <c r="K573" s="139"/>
      <c r="L573" s="139"/>
      <c r="M573" s="139"/>
    </row>
    <row r="574" spans="7:13" x14ac:dyDescent="0.3">
      <c r="G574" s="139"/>
      <c r="H574" s="139"/>
      <c r="I574" s="139"/>
      <c r="J574" s="139"/>
      <c r="K574" s="139"/>
      <c r="L574" s="139"/>
      <c r="M574" s="139"/>
    </row>
    <row r="575" spans="7:13" x14ac:dyDescent="0.3">
      <c r="G575" s="139"/>
      <c r="H575" s="139"/>
      <c r="I575" s="139"/>
      <c r="J575" s="139"/>
      <c r="K575" s="139"/>
      <c r="L575" s="139"/>
      <c r="M575" s="139"/>
    </row>
    <row r="576" spans="7:13" x14ac:dyDescent="0.3">
      <c r="G576" s="139"/>
      <c r="H576" s="139"/>
      <c r="I576" s="139"/>
      <c r="J576" s="139"/>
      <c r="K576" s="139"/>
      <c r="L576" s="139"/>
      <c r="M576" s="139"/>
    </row>
    <row r="577" spans="7:13" x14ac:dyDescent="0.3">
      <c r="G577" s="139"/>
      <c r="H577" s="139"/>
      <c r="I577" s="139"/>
      <c r="J577" s="139"/>
      <c r="K577" s="139"/>
      <c r="L577" s="139"/>
      <c r="M577" s="139"/>
    </row>
    <row r="578" spans="7:13" x14ac:dyDescent="0.3">
      <c r="G578" s="139"/>
      <c r="H578" s="139"/>
      <c r="I578" s="139"/>
      <c r="J578" s="139"/>
      <c r="K578" s="139"/>
      <c r="L578" s="139"/>
      <c r="M578" s="139"/>
    </row>
    <row r="579" spans="7:13" x14ac:dyDescent="0.3">
      <c r="G579" s="139"/>
      <c r="H579" s="139"/>
      <c r="I579" s="139"/>
      <c r="J579" s="139"/>
      <c r="K579" s="139"/>
      <c r="L579" s="139"/>
      <c r="M579" s="139"/>
    </row>
    <row r="580" spans="7:13" x14ac:dyDescent="0.3">
      <c r="G580" s="139"/>
      <c r="H580" s="139"/>
      <c r="I580" s="139"/>
      <c r="J580" s="139"/>
      <c r="K580" s="139"/>
      <c r="L580" s="139"/>
      <c r="M580" s="139"/>
    </row>
    <row r="581" spans="7:13" x14ac:dyDescent="0.3">
      <c r="G581" s="139"/>
      <c r="H581" s="139"/>
      <c r="I581" s="139"/>
      <c r="J581" s="139"/>
      <c r="K581" s="139"/>
      <c r="L581" s="139"/>
      <c r="M581" s="139"/>
    </row>
    <row r="582" spans="7:13" x14ac:dyDescent="0.3">
      <c r="G582" s="139"/>
      <c r="H582" s="139"/>
      <c r="I582" s="139"/>
      <c r="J582" s="139"/>
      <c r="K582" s="139"/>
      <c r="L582" s="139"/>
      <c r="M582" s="139"/>
    </row>
    <row r="583" spans="7:13" x14ac:dyDescent="0.3">
      <c r="G583" s="139"/>
      <c r="H583" s="139"/>
      <c r="I583" s="139"/>
      <c r="J583" s="139"/>
      <c r="K583" s="139"/>
      <c r="L583" s="139"/>
      <c r="M583" s="139"/>
    </row>
    <row r="584" spans="7:13" x14ac:dyDescent="0.3">
      <c r="G584" s="139"/>
      <c r="H584" s="139"/>
      <c r="I584" s="139"/>
      <c r="J584" s="139"/>
      <c r="K584" s="139"/>
      <c r="L584" s="139"/>
      <c r="M584" s="139"/>
    </row>
    <row r="585" spans="7:13" x14ac:dyDescent="0.3">
      <c r="G585" s="139"/>
      <c r="H585" s="139"/>
      <c r="I585" s="139"/>
      <c r="J585" s="139"/>
      <c r="K585" s="139"/>
      <c r="L585" s="139"/>
      <c r="M585" s="139"/>
    </row>
    <row r="586" spans="7:13" x14ac:dyDescent="0.3">
      <c r="G586" s="139"/>
      <c r="H586" s="139"/>
      <c r="I586" s="139"/>
      <c r="J586" s="139"/>
      <c r="K586" s="139"/>
      <c r="L586" s="139"/>
      <c r="M586" s="139"/>
    </row>
    <row r="587" spans="7:13" x14ac:dyDescent="0.3">
      <c r="G587" s="139"/>
      <c r="H587" s="139"/>
      <c r="I587" s="139"/>
      <c r="J587" s="139"/>
      <c r="K587" s="139"/>
      <c r="L587" s="139"/>
      <c r="M587" s="139"/>
    </row>
    <row r="588" spans="7:13" x14ac:dyDescent="0.3">
      <c r="G588" s="139"/>
      <c r="H588" s="139"/>
      <c r="I588" s="139"/>
      <c r="J588" s="139"/>
      <c r="K588" s="139"/>
      <c r="L588" s="139"/>
      <c r="M588" s="139"/>
    </row>
    <row r="589" spans="7:13" x14ac:dyDescent="0.3">
      <c r="G589" s="139"/>
      <c r="H589" s="139"/>
      <c r="I589" s="139"/>
      <c r="J589" s="139"/>
      <c r="K589" s="139"/>
      <c r="L589" s="139"/>
      <c r="M589" s="139"/>
    </row>
    <row r="590" spans="7:13" x14ac:dyDescent="0.3">
      <c r="G590" s="139"/>
      <c r="H590" s="139"/>
      <c r="I590" s="139"/>
      <c r="J590" s="139"/>
      <c r="K590" s="139"/>
      <c r="L590" s="139"/>
      <c r="M590" s="139"/>
    </row>
    <row r="591" spans="7:13" x14ac:dyDescent="0.3">
      <c r="G591" s="139"/>
      <c r="H591" s="139"/>
      <c r="I591" s="139"/>
      <c r="J591" s="139"/>
      <c r="K591" s="139"/>
      <c r="L591" s="139"/>
      <c r="M591" s="139"/>
    </row>
    <row r="592" spans="7:13" x14ac:dyDescent="0.3">
      <c r="G592" s="139"/>
      <c r="H592" s="139"/>
      <c r="I592" s="139"/>
      <c r="J592" s="139"/>
      <c r="K592" s="139"/>
      <c r="L592" s="139"/>
      <c r="M592" s="139"/>
    </row>
    <row r="593" spans="7:13" x14ac:dyDescent="0.3">
      <c r="G593" s="139"/>
      <c r="H593" s="139"/>
      <c r="I593" s="139"/>
      <c r="J593" s="139"/>
      <c r="K593" s="139"/>
      <c r="L593" s="139"/>
      <c r="M593" s="139"/>
    </row>
    <row r="594" spans="7:13" x14ac:dyDescent="0.3">
      <c r="G594" s="139"/>
      <c r="H594" s="139"/>
      <c r="I594" s="139"/>
      <c r="J594" s="139"/>
      <c r="K594" s="139"/>
      <c r="L594" s="139"/>
      <c r="M594" s="139"/>
    </row>
    <row r="595" spans="7:13" x14ac:dyDescent="0.3">
      <c r="G595" s="139"/>
      <c r="H595" s="139"/>
      <c r="I595" s="139"/>
      <c r="J595" s="139"/>
      <c r="K595" s="139"/>
      <c r="L595" s="139"/>
      <c r="M595" s="139"/>
    </row>
    <row r="596" spans="7:13" x14ac:dyDescent="0.3">
      <c r="G596" s="139"/>
      <c r="H596" s="139"/>
      <c r="I596" s="139"/>
      <c r="J596" s="139"/>
      <c r="K596" s="139"/>
      <c r="L596" s="139"/>
      <c r="M596" s="139"/>
    </row>
    <row r="597" spans="7:13" x14ac:dyDescent="0.3">
      <c r="G597" s="139"/>
      <c r="H597" s="139"/>
      <c r="I597" s="139"/>
      <c r="J597" s="139"/>
      <c r="K597" s="139"/>
      <c r="L597" s="139"/>
      <c r="M597" s="139"/>
    </row>
    <row r="598" spans="7:13" x14ac:dyDescent="0.3">
      <c r="G598" s="139"/>
      <c r="H598" s="139"/>
      <c r="I598" s="139"/>
      <c r="J598" s="139"/>
      <c r="K598" s="139"/>
      <c r="L598" s="139"/>
      <c r="M598" s="139"/>
    </row>
    <row r="599" spans="7:13" x14ac:dyDescent="0.3">
      <c r="G599" s="139"/>
      <c r="H599" s="139"/>
      <c r="I599" s="139"/>
      <c r="J599" s="139"/>
      <c r="K599" s="139"/>
      <c r="L599" s="139"/>
      <c r="M599" s="139"/>
    </row>
    <row r="600" spans="7:13" x14ac:dyDescent="0.3">
      <c r="G600" s="139"/>
      <c r="H600" s="139"/>
      <c r="I600" s="139"/>
      <c r="J600" s="139"/>
      <c r="K600" s="139"/>
      <c r="L600" s="139"/>
      <c r="M600" s="139"/>
    </row>
    <row r="601" spans="7:13" x14ac:dyDescent="0.3">
      <c r="G601" s="139"/>
      <c r="H601" s="139"/>
      <c r="I601" s="139"/>
      <c r="J601" s="139"/>
      <c r="K601" s="139"/>
      <c r="L601" s="139"/>
      <c r="M601" s="139"/>
    </row>
    <row r="602" spans="7:13" x14ac:dyDescent="0.3">
      <c r="G602" s="139"/>
      <c r="H602" s="139"/>
      <c r="I602" s="139"/>
      <c r="J602" s="139"/>
      <c r="K602" s="139"/>
      <c r="L602" s="139"/>
      <c r="M602" s="139"/>
    </row>
    <row r="603" spans="7:13" x14ac:dyDescent="0.3">
      <c r="G603" s="139"/>
      <c r="H603" s="139"/>
      <c r="I603" s="139"/>
      <c r="J603" s="139"/>
      <c r="K603" s="139"/>
      <c r="L603" s="139"/>
      <c r="M603" s="139"/>
    </row>
    <row r="604" spans="7:13" x14ac:dyDescent="0.3">
      <c r="G604" s="139"/>
      <c r="H604" s="139"/>
      <c r="I604" s="139"/>
      <c r="J604" s="139"/>
      <c r="K604" s="139"/>
      <c r="L604" s="139"/>
      <c r="M604" s="139"/>
    </row>
    <row r="605" spans="7:13" x14ac:dyDescent="0.3">
      <c r="G605" s="139"/>
      <c r="H605" s="139"/>
      <c r="I605" s="139"/>
      <c r="J605" s="139"/>
      <c r="K605" s="139"/>
      <c r="L605" s="139"/>
      <c r="M605" s="139"/>
    </row>
    <row r="606" spans="7:13" x14ac:dyDescent="0.3">
      <c r="G606" s="139"/>
      <c r="H606" s="139"/>
      <c r="I606" s="139"/>
      <c r="J606" s="139"/>
      <c r="K606" s="139"/>
      <c r="L606" s="139"/>
      <c r="M606" s="139"/>
    </row>
    <row r="607" spans="7:13" x14ac:dyDescent="0.3">
      <c r="G607" s="139"/>
      <c r="H607" s="139"/>
      <c r="I607" s="139"/>
      <c r="J607" s="139"/>
      <c r="K607" s="139"/>
      <c r="L607" s="139"/>
      <c r="M607" s="139"/>
    </row>
    <row r="608" spans="7:13" x14ac:dyDescent="0.3">
      <c r="G608" s="139"/>
      <c r="H608" s="139"/>
      <c r="I608" s="139"/>
      <c r="J608" s="139"/>
      <c r="K608" s="139"/>
      <c r="L608" s="139"/>
      <c r="M608" s="139"/>
    </row>
    <row r="609" spans="7:13" x14ac:dyDescent="0.3">
      <c r="G609" s="139"/>
      <c r="H609" s="139"/>
      <c r="I609" s="139"/>
      <c r="J609" s="139"/>
      <c r="K609" s="139"/>
      <c r="L609" s="139"/>
      <c r="M609" s="139"/>
    </row>
    <row r="610" spans="7:13" x14ac:dyDescent="0.3">
      <c r="G610" s="139"/>
      <c r="H610" s="139"/>
      <c r="I610" s="139"/>
      <c r="J610" s="139"/>
      <c r="K610" s="139"/>
      <c r="L610" s="139"/>
      <c r="M610" s="139"/>
    </row>
    <row r="611" spans="7:13" x14ac:dyDescent="0.3">
      <c r="G611" s="139"/>
      <c r="H611" s="139"/>
      <c r="I611" s="139"/>
      <c r="J611" s="139"/>
      <c r="K611" s="139"/>
      <c r="L611" s="139"/>
      <c r="M611" s="139"/>
    </row>
    <row r="612" spans="7:13" x14ac:dyDescent="0.3">
      <c r="G612" s="139"/>
      <c r="H612" s="139"/>
      <c r="I612" s="139"/>
      <c r="J612" s="139"/>
      <c r="K612" s="139"/>
      <c r="L612" s="139"/>
      <c r="M612" s="139"/>
    </row>
    <row r="613" spans="7:13" x14ac:dyDescent="0.3">
      <c r="G613" s="139"/>
      <c r="H613" s="139"/>
      <c r="I613" s="139"/>
      <c r="J613" s="139"/>
      <c r="K613" s="139"/>
      <c r="L613" s="139"/>
      <c r="M613" s="139"/>
    </row>
    <row r="614" spans="7:13" x14ac:dyDescent="0.3">
      <c r="G614" s="139"/>
      <c r="H614" s="139"/>
      <c r="I614" s="139"/>
      <c r="J614" s="139"/>
      <c r="K614" s="139"/>
      <c r="L614" s="139"/>
      <c r="M614" s="139"/>
    </row>
    <row r="615" spans="7:13" x14ac:dyDescent="0.3">
      <c r="G615" s="139"/>
      <c r="H615" s="139"/>
      <c r="I615" s="139"/>
      <c r="J615" s="139"/>
      <c r="K615" s="139"/>
      <c r="L615" s="139"/>
      <c r="M615" s="139"/>
    </row>
    <row r="616" spans="7:13" x14ac:dyDescent="0.3">
      <c r="G616" s="139"/>
      <c r="H616" s="139"/>
      <c r="I616" s="139"/>
      <c r="J616" s="139"/>
      <c r="K616" s="139"/>
      <c r="L616" s="139"/>
      <c r="M616" s="139"/>
    </row>
    <row r="617" spans="7:13" x14ac:dyDescent="0.3">
      <c r="G617" s="139"/>
      <c r="H617" s="139"/>
      <c r="I617" s="139"/>
      <c r="J617" s="139"/>
      <c r="K617" s="139"/>
      <c r="L617" s="139"/>
      <c r="M617" s="139"/>
    </row>
    <row r="618" spans="7:13" x14ac:dyDescent="0.3">
      <c r="G618" s="139"/>
      <c r="H618" s="139"/>
      <c r="I618" s="139"/>
      <c r="J618" s="139"/>
      <c r="K618" s="139"/>
      <c r="L618" s="139"/>
      <c r="M618" s="139"/>
    </row>
    <row r="619" spans="7:13" x14ac:dyDescent="0.3">
      <c r="G619" s="139"/>
      <c r="H619" s="139"/>
      <c r="I619" s="139"/>
      <c r="J619" s="139"/>
      <c r="K619" s="139"/>
      <c r="L619" s="139"/>
      <c r="M619" s="139"/>
    </row>
    <row r="620" spans="7:13" x14ac:dyDescent="0.3">
      <c r="G620" s="139"/>
      <c r="H620" s="139"/>
      <c r="I620" s="139"/>
      <c r="J620" s="139"/>
      <c r="K620" s="139"/>
      <c r="L620" s="139"/>
      <c r="M620" s="139"/>
    </row>
    <row r="621" spans="7:13" x14ac:dyDescent="0.3">
      <c r="G621" s="139"/>
      <c r="H621" s="139"/>
      <c r="I621" s="139"/>
      <c r="J621" s="139"/>
      <c r="K621" s="139"/>
      <c r="L621" s="139"/>
      <c r="M621" s="139"/>
    </row>
    <row r="622" spans="7:13" x14ac:dyDescent="0.3">
      <c r="G622" s="139"/>
      <c r="H622" s="139"/>
      <c r="I622" s="139"/>
      <c r="J622" s="139"/>
      <c r="K622" s="139"/>
      <c r="L622" s="139"/>
      <c r="M622" s="139"/>
    </row>
    <row r="623" spans="7:13" x14ac:dyDescent="0.3">
      <c r="G623" s="139"/>
      <c r="H623" s="139"/>
      <c r="I623" s="139"/>
      <c r="J623" s="139"/>
      <c r="K623" s="139"/>
      <c r="L623" s="139"/>
      <c r="M623" s="139"/>
    </row>
    <row r="624" spans="7:13" x14ac:dyDescent="0.3">
      <c r="G624" s="139"/>
      <c r="H624" s="139"/>
      <c r="I624" s="139"/>
      <c r="J624" s="139"/>
      <c r="K624" s="139"/>
      <c r="L624" s="139"/>
      <c r="M624" s="139"/>
    </row>
  </sheetData>
  <sheetProtection algorithmName="SHA-512" hashValue="MZClBPpzQ6UKQ3auUiImnPr82fqlE7u9c62sulsi/BnJvH7vOtXuZUzRfNupW/SEQwasSNaKGdUr0y14cRrf8g==" saltValue="tUt6ncMv8+bjNa3KF8JRFQ==" spinCount="100000" sheet="1" objects="1" scenarios="1"/>
  <mergeCells count="5">
    <mergeCell ref="A4:B4"/>
    <mergeCell ref="B48:E48"/>
    <mergeCell ref="C60:D60"/>
    <mergeCell ref="C62:D62"/>
    <mergeCell ref="C64:D64"/>
  </mergeCells>
  <dataValidations count="2">
    <dataValidation showInputMessage="1" showErrorMessage="1" sqref="A6:B45" xr:uid="{00000000-0002-0000-0100-000000000000}"/>
    <dataValidation type="decimal" allowBlank="1" showInputMessage="1" showErrorMessage="1" sqref="C52 C54" xr:uid="{00000000-0002-0000-0100-000001000000}">
      <formula1>0.001</formula1>
      <formula2>0.002</formula2>
    </dataValidation>
  </dataValidations>
  <pageMargins left="0.7" right="0.7" top="0.78740157499999996" bottom="0.78740157499999996" header="0.3" footer="0.3"/>
  <pageSetup paperSize="9" orientation="portrait" horizontalDpi="4294967293" vertic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83"/>
  <sheetViews>
    <sheetView topLeftCell="A16" zoomScaleNormal="100" workbookViewId="0">
      <selection activeCell="B64" sqref="B64"/>
    </sheetView>
  </sheetViews>
  <sheetFormatPr baseColWidth="10" defaultRowHeight="14.4" x14ac:dyDescent="0.3"/>
  <cols>
    <col min="1" max="1" width="18" style="140" customWidth="1"/>
    <col min="2" max="2" width="12.5546875" style="140" customWidth="1"/>
    <col min="3" max="3" width="16.109375" style="140" customWidth="1"/>
    <col min="4" max="5" width="11.5546875" style="140"/>
    <col min="6" max="6" width="13.44140625" style="140" customWidth="1"/>
    <col min="7" max="9" width="11.5546875" style="140"/>
    <col min="10" max="10" width="20.21875" style="140" customWidth="1"/>
    <col min="11" max="11" width="30" style="140" customWidth="1"/>
    <col min="12" max="12" width="29.44140625" style="140" customWidth="1"/>
    <col min="13" max="13" width="18.5546875" style="140" customWidth="1"/>
    <col min="14" max="14" width="16.5546875" style="140" customWidth="1"/>
    <col min="15" max="16384" width="11.5546875" style="140"/>
  </cols>
  <sheetData>
    <row r="1" spans="1:19" ht="18" x14ac:dyDescent="0.35">
      <c r="A1" s="188" t="s">
        <v>55</v>
      </c>
      <c r="B1" s="188"/>
      <c r="C1" s="188"/>
      <c r="D1" s="188"/>
      <c r="E1" s="188"/>
      <c r="F1" s="188"/>
      <c r="G1" s="188"/>
      <c r="H1" s="188"/>
      <c r="I1" s="188"/>
      <c r="J1" s="143"/>
      <c r="K1" s="138"/>
      <c r="L1" s="138"/>
      <c r="M1" s="138"/>
      <c r="N1" s="138"/>
      <c r="O1" s="139"/>
      <c r="P1" s="139"/>
      <c r="Q1" s="139"/>
      <c r="R1" s="139"/>
      <c r="S1" s="139"/>
    </row>
    <row r="2" spans="1:19" x14ac:dyDescent="0.3">
      <c r="A2" s="143"/>
      <c r="B2" s="143"/>
      <c r="C2" s="143"/>
      <c r="D2" s="143"/>
      <c r="E2" s="143"/>
      <c r="F2" s="143"/>
      <c r="G2" s="143"/>
      <c r="H2" s="143"/>
      <c r="I2" s="143"/>
      <c r="J2" s="143"/>
      <c r="K2" s="138"/>
      <c r="L2" s="138"/>
      <c r="M2" s="138"/>
      <c r="N2" s="138"/>
      <c r="O2" s="139"/>
      <c r="P2" s="139"/>
      <c r="Q2" s="139"/>
      <c r="R2" s="139"/>
      <c r="S2" s="139"/>
    </row>
    <row r="3" spans="1:19" x14ac:dyDescent="0.3">
      <c r="A3" s="262"/>
      <c r="B3" s="262"/>
      <c r="C3" s="262" t="s">
        <v>0</v>
      </c>
      <c r="D3" s="262" t="s">
        <v>1</v>
      </c>
      <c r="E3" s="262" t="s">
        <v>2</v>
      </c>
      <c r="F3" s="262" t="s">
        <v>21</v>
      </c>
      <c r="G3" s="262" t="s">
        <v>3</v>
      </c>
      <c r="H3" s="262" t="s">
        <v>4</v>
      </c>
      <c r="I3" s="262" t="s">
        <v>36</v>
      </c>
      <c r="J3" s="143"/>
      <c r="K3" s="138"/>
      <c r="L3" s="138"/>
      <c r="M3" s="138"/>
      <c r="N3" s="138"/>
      <c r="O3" s="139"/>
      <c r="P3" s="139"/>
      <c r="Q3" s="139"/>
      <c r="R3" s="139"/>
      <c r="S3" s="139"/>
    </row>
    <row r="4" spans="1:19" x14ac:dyDescent="0.3">
      <c r="A4" s="275" t="s">
        <v>37</v>
      </c>
      <c r="B4" s="275"/>
      <c r="C4" s="262">
        <f>EINGABEN!$D$46</f>
        <v>10</v>
      </c>
      <c r="D4" s="262">
        <f>IF(MIN(A6:A45)&lt;1,0,ROUND(SUM(D6:D45),12))</f>
        <v>18.372078564792002</v>
      </c>
      <c r="E4" s="262">
        <f>SUM(E6:E45)</f>
        <v>822.75</v>
      </c>
      <c r="F4" s="262" t="s">
        <v>22</v>
      </c>
      <c r="G4" s="262">
        <f>IF(MIN(A6:A45)&lt;1,0,ROUND(SUM(G6:G45),12))</f>
        <v>2002.36284547278</v>
      </c>
      <c r="H4" s="262">
        <f>IF(MIN(A6:A45)&lt;1,0,ROUND(SUM(H6:H45),12))</f>
        <v>39.073513623921002</v>
      </c>
      <c r="I4" s="262">
        <f>ROUND(SUM(I6:I45),12)</f>
        <v>126984.1875</v>
      </c>
      <c r="J4" s="143"/>
      <c r="K4" s="138"/>
      <c r="L4" s="138"/>
      <c r="M4" s="138"/>
      <c r="N4" s="138"/>
      <c r="O4" s="139"/>
      <c r="P4" s="139"/>
      <c r="Q4" s="139"/>
      <c r="R4" s="139"/>
      <c r="S4" s="139"/>
    </row>
    <row r="5" spans="1:19" x14ac:dyDescent="0.3">
      <c r="A5" s="262" t="s">
        <v>8</v>
      </c>
      <c r="B5" s="262" t="s">
        <v>9</v>
      </c>
      <c r="C5" s="262" t="s">
        <v>35</v>
      </c>
      <c r="D5" s="262" t="s">
        <v>5</v>
      </c>
      <c r="E5" s="262" t="s">
        <v>6</v>
      </c>
      <c r="F5" s="262" t="s">
        <v>23</v>
      </c>
      <c r="G5" s="262" t="s">
        <v>10</v>
      </c>
      <c r="H5" s="262" t="s">
        <v>7</v>
      </c>
      <c r="I5" s="262" t="s">
        <v>18</v>
      </c>
      <c r="J5" s="139" t="s">
        <v>114</v>
      </c>
      <c r="K5" s="262" t="s">
        <v>112</v>
      </c>
      <c r="L5" s="144" t="s">
        <v>113</v>
      </c>
      <c r="M5" s="144" t="s">
        <v>115</v>
      </c>
      <c r="N5" s="138"/>
      <c r="O5" s="139"/>
      <c r="P5" s="139"/>
      <c r="Q5" s="139"/>
      <c r="R5" s="139"/>
      <c r="S5" s="139"/>
    </row>
    <row r="6" spans="1:19" x14ac:dyDescent="0.3">
      <c r="A6" s="262">
        <f>EINGABEN!B6</f>
        <v>8</v>
      </c>
      <c r="B6" s="262">
        <f>EINGABEN!D6</f>
        <v>64</v>
      </c>
      <c r="C6" s="262"/>
      <c r="D6" s="262">
        <f>(LN((A6+(0.00000001))))</f>
        <v>2.0794415429298359</v>
      </c>
      <c r="E6" s="262">
        <f>(B6)</f>
        <v>64</v>
      </c>
      <c r="F6" s="262">
        <f>(C52+C54*D6)</f>
        <v>104.62164358381125</v>
      </c>
      <c r="G6" s="262">
        <f t="shared" ref="G6:G45" si="0">(D6*E6)</f>
        <v>133.08425874750949</v>
      </c>
      <c r="H6" s="262">
        <f t="shared" ref="H6:I45" si="1">(D6)^2</f>
        <v>4.3240771304624159</v>
      </c>
      <c r="I6" s="262">
        <f t="shared" si="1"/>
        <v>4096</v>
      </c>
      <c r="J6" s="139">
        <f>IF(EINGABEN!C6="","",EINGABEN!C6)</f>
        <v>8</v>
      </c>
      <c r="K6" s="143">
        <f t="shared" ref="K6:K44" si="2">IF(B6=0,"",B6)</f>
        <v>64</v>
      </c>
      <c r="L6" s="138">
        <f>IF(J6="","",($C$52+$C$54*(LN(J6+0.00001))))</f>
        <v>104.62175878394865</v>
      </c>
      <c r="M6" s="138">
        <f>IF(K6="","",(K6-L6)^2)</f>
        <v>1650.1272867013092</v>
      </c>
      <c r="N6" s="138"/>
      <c r="O6" s="139"/>
      <c r="P6" s="139"/>
      <c r="Q6" s="139"/>
      <c r="R6" s="139"/>
      <c r="S6" s="139"/>
    </row>
    <row r="7" spans="1:19" x14ac:dyDescent="0.3">
      <c r="A7" s="262">
        <f>EINGABEN!B7</f>
        <v>7</v>
      </c>
      <c r="B7" s="262">
        <f>EINGABEN!D7</f>
        <v>49</v>
      </c>
      <c r="C7" s="262"/>
      <c r="D7" s="262">
        <f>(LN((A7+(0.00000001))))</f>
        <v>1.9459101504838847</v>
      </c>
      <c r="E7" s="262">
        <f t="shared" ref="E7:E45" si="3">(B7)</f>
        <v>49</v>
      </c>
      <c r="F7" s="262">
        <f>(C52+C54*D7)</f>
        <v>92.303049484702541</v>
      </c>
      <c r="G7" s="262">
        <f t="shared" si="0"/>
        <v>95.349597373710353</v>
      </c>
      <c r="H7" s="262">
        <f t="shared" si="1"/>
        <v>3.7865663137562149</v>
      </c>
      <c r="I7" s="262">
        <f t="shared" si="1"/>
        <v>2401</v>
      </c>
      <c r="J7" s="139">
        <f>IF(EINGABEN!C7="","",EINGABEN!C7)</f>
        <v>7</v>
      </c>
      <c r="K7" s="143">
        <f t="shared" si="2"/>
        <v>49</v>
      </c>
      <c r="L7" s="138">
        <f t="shared" ref="L7:L45" si="4">IF(J7="","",($C$52+$C$54*(LN(J7+0.00001))))</f>
        <v>92.303181141990649</v>
      </c>
      <c r="M7" s="138">
        <f t="shared" ref="M7:M45" si="5">IF(K7="","",(K7-L7)^2)</f>
        <v>1875.1654970160546</v>
      </c>
      <c r="N7" s="138"/>
      <c r="O7" s="139"/>
      <c r="P7" s="139"/>
      <c r="Q7" s="139"/>
      <c r="R7" s="139"/>
      <c r="S7" s="139"/>
    </row>
    <row r="8" spans="1:19" x14ac:dyDescent="0.3">
      <c r="A8" s="262">
        <f>EINGABEN!B8</f>
        <v>4</v>
      </c>
      <c r="B8" s="262">
        <f>EINGABEN!D8</f>
        <v>16</v>
      </c>
      <c r="C8" s="262"/>
      <c r="D8" s="262">
        <f t="shared" ref="D8:D45" si="6">(LN((A8+(1E-100))))</f>
        <v>1.3862943611198906</v>
      </c>
      <c r="E8" s="262">
        <f t="shared" si="3"/>
        <v>16</v>
      </c>
      <c r="F8" s="262">
        <f>(C52+C54*D8)</f>
        <v>40.677138645663817</v>
      </c>
      <c r="G8" s="262">
        <f t="shared" si="0"/>
        <v>22.180709777918249</v>
      </c>
      <c r="H8" s="262">
        <f t="shared" si="1"/>
        <v>1.9218120556728056</v>
      </c>
      <c r="I8" s="262">
        <f t="shared" si="1"/>
        <v>256</v>
      </c>
      <c r="J8" s="139">
        <f>IF(EINGABEN!C8="","",EINGABEN!C8)</f>
        <v>4</v>
      </c>
      <c r="K8" s="143">
        <f t="shared" si="2"/>
        <v>16</v>
      </c>
      <c r="L8" s="138">
        <f t="shared" si="4"/>
        <v>40.677369276425509</v>
      </c>
      <c r="M8" s="138">
        <f t="shared" si="5"/>
        <v>608.97255440506967</v>
      </c>
      <c r="N8" s="138"/>
      <c r="O8" s="139"/>
      <c r="P8" s="139"/>
      <c r="Q8" s="139"/>
      <c r="R8" s="139"/>
      <c r="S8" s="139"/>
    </row>
    <row r="9" spans="1:19" x14ac:dyDescent="0.3">
      <c r="A9" s="262">
        <f>EINGABEN!B9</f>
        <v>2.5</v>
      </c>
      <c r="B9" s="262">
        <f>EINGABEN!D9</f>
        <v>6.25</v>
      </c>
      <c r="C9" s="262"/>
      <c r="D9" s="262">
        <f t="shared" si="6"/>
        <v>0.91629073187415511</v>
      </c>
      <c r="E9" s="262">
        <f t="shared" si="3"/>
        <v>6.25</v>
      </c>
      <c r="F9" s="262">
        <f>(C52+C54*D9)</f>
        <v>-2.6818335610380615</v>
      </c>
      <c r="G9" s="262">
        <f t="shared" si="0"/>
        <v>5.7268170742134696</v>
      </c>
      <c r="H9" s="262">
        <f t="shared" si="1"/>
        <v>0.83958870531847485</v>
      </c>
      <c r="I9" s="262">
        <f t="shared" si="1"/>
        <v>39.0625</v>
      </c>
      <c r="J9" s="139">
        <f>IF(EINGABEN!C9="","",EINGABEN!C9)</f>
        <v>2.5</v>
      </c>
      <c r="K9" s="143">
        <f t="shared" si="2"/>
        <v>6.25</v>
      </c>
      <c r="L9" s="138">
        <f t="shared" si="4"/>
        <v>-2.6814645520960738</v>
      </c>
      <c r="M9" s="138">
        <f t="shared" si="5"/>
        <v>79.771059045348721</v>
      </c>
      <c r="N9" s="138"/>
      <c r="O9" s="139"/>
      <c r="P9" s="139"/>
      <c r="Q9" s="139"/>
      <c r="R9" s="139"/>
      <c r="S9" s="139"/>
    </row>
    <row r="10" spans="1:19" x14ac:dyDescent="0.3">
      <c r="A10" s="262">
        <f>EINGABEN!B10</f>
        <v>4.5</v>
      </c>
      <c r="B10" s="262">
        <f>EINGABEN!D10</f>
        <v>20.25</v>
      </c>
      <c r="C10" s="262"/>
      <c r="D10" s="262">
        <f t="shared" si="6"/>
        <v>1.5040773967762742</v>
      </c>
      <c r="E10" s="262">
        <f>(B10)</f>
        <v>20.25</v>
      </c>
      <c r="F10" s="262">
        <f>(C52+C54*D10)</f>
        <v>51.54290871991148</v>
      </c>
      <c r="G10" s="262">
        <f t="shared" si="0"/>
        <v>30.457567284719552</v>
      </c>
      <c r="H10" s="262">
        <f t="shared" si="1"/>
        <v>2.2622488154932938</v>
      </c>
      <c r="I10" s="262">
        <f t="shared" si="1"/>
        <v>410.0625</v>
      </c>
      <c r="J10" s="139">
        <f>IF(EINGABEN!C10="","",EINGABEN!C10)</f>
        <v>4.5</v>
      </c>
      <c r="K10" s="143">
        <f t="shared" si="2"/>
        <v>20.25</v>
      </c>
      <c r="L10" s="138">
        <f t="shared" si="4"/>
        <v>51.54311372506146</v>
      </c>
      <c r="M10" s="138">
        <f t="shared" si="5"/>
        <v>979.25896660962985</v>
      </c>
      <c r="N10" s="138"/>
      <c r="O10" s="139"/>
      <c r="P10" s="139"/>
      <c r="Q10" s="139"/>
      <c r="R10" s="139"/>
      <c r="S10" s="139"/>
    </row>
    <row r="11" spans="1:19" x14ac:dyDescent="0.3">
      <c r="A11" s="262">
        <f>EINGABEN!B11</f>
        <v>10</v>
      </c>
      <c r="B11" s="262">
        <f>EINGABEN!D11</f>
        <v>100</v>
      </c>
      <c r="C11" s="262"/>
      <c r="D11" s="262">
        <f t="shared" si="6"/>
        <v>2.3025850929940459</v>
      </c>
      <c r="E11" s="262">
        <f t="shared" si="3"/>
        <v>100</v>
      </c>
      <c r="F11" s="262">
        <f>(C52+C54*D11)</f>
        <v>125.20717608462579</v>
      </c>
      <c r="G11" s="262">
        <f t="shared" si="0"/>
        <v>230.25850929940458</v>
      </c>
      <c r="H11" s="262">
        <f t="shared" si="1"/>
        <v>5.3018981104783993</v>
      </c>
      <c r="I11" s="262">
        <f t="shared" si="1"/>
        <v>10000</v>
      </c>
      <c r="J11" s="139">
        <f>IF(EINGABEN!C11="","",EINGABEN!C11)</f>
        <v>10</v>
      </c>
      <c r="K11" s="143">
        <f t="shared" si="2"/>
        <v>100</v>
      </c>
      <c r="L11" s="138">
        <f t="shared" si="4"/>
        <v>125.20726833699962</v>
      </c>
      <c r="M11" s="138">
        <f t="shared" si="5"/>
        <v>635.40637701350352</v>
      </c>
      <c r="N11" s="138"/>
      <c r="O11" s="139"/>
      <c r="P11" s="139"/>
      <c r="Q11" s="139"/>
      <c r="R11" s="139"/>
      <c r="S11" s="139"/>
    </row>
    <row r="12" spans="1:19" x14ac:dyDescent="0.3">
      <c r="A12" s="262">
        <f>EINGABEN!B12</f>
        <v>12</v>
      </c>
      <c r="B12" s="262">
        <f>EINGABEN!D12</f>
        <v>144</v>
      </c>
      <c r="C12" s="262"/>
      <c r="D12" s="262">
        <f t="shared" si="6"/>
        <v>2.4849066497880004</v>
      </c>
      <c r="E12" s="262">
        <f t="shared" si="3"/>
        <v>144</v>
      </c>
      <c r="F12" s="262">
        <f>(C52+C54*D12)</f>
        <v>142.02678091703552</v>
      </c>
      <c r="G12" s="262">
        <f t="shared" si="0"/>
        <v>357.82655756947207</v>
      </c>
      <c r="H12" s="262">
        <f t="shared" si="1"/>
        <v>6.174761058160624</v>
      </c>
      <c r="I12" s="262">
        <f t="shared" si="1"/>
        <v>20736</v>
      </c>
      <c r="J12" s="139">
        <f>IF(EINGABEN!C12="","",EINGABEN!C12)</f>
        <v>12</v>
      </c>
      <c r="K12" s="143">
        <f t="shared" si="2"/>
        <v>144</v>
      </c>
      <c r="L12" s="138">
        <f t="shared" si="4"/>
        <v>142.02685779402017</v>
      </c>
      <c r="M12" s="138">
        <f t="shared" si="5"/>
        <v>3.8932901650189353</v>
      </c>
      <c r="N12" s="138"/>
      <c r="O12" s="139"/>
      <c r="P12" s="139"/>
      <c r="Q12" s="139"/>
      <c r="R12" s="139"/>
      <c r="S12" s="139"/>
    </row>
    <row r="13" spans="1:19" x14ac:dyDescent="0.3">
      <c r="A13" s="262">
        <f>EINGABEN!B13</f>
        <v>15</v>
      </c>
      <c r="B13" s="262">
        <f>EINGABEN!D13</f>
        <v>225</v>
      </c>
      <c r="C13" s="262"/>
      <c r="D13" s="262">
        <f t="shared" si="6"/>
        <v>2.7080502011022101</v>
      </c>
      <c r="E13" s="262">
        <f t="shared" si="3"/>
        <v>225</v>
      </c>
      <c r="F13" s="262">
        <f>(C52+C54*D13)</f>
        <v>162.61231353316555</v>
      </c>
      <c r="G13" s="262">
        <f t="shared" si="0"/>
        <v>609.31129524799724</v>
      </c>
      <c r="H13" s="262">
        <f t="shared" si="1"/>
        <v>7.3335358916897206</v>
      </c>
      <c r="I13" s="262">
        <f t="shared" si="1"/>
        <v>50625</v>
      </c>
      <c r="J13" s="139">
        <f>IF(EINGABEN!C13="","",EINGABEN!C13)</f>
        <v>15</v>
      </c>
      <c r="K13" s="143">
        <f t="shared" si="2"/>
        <v>225</v>
      </c>
      <c r="L13" s="138">
        <f t="shared" si="4"/>
        <v>162.61237503475837</v>
      </c>
      <c r="M13" s="138">
        <f t="shared" si="5"/>
        <v>3892.2157488036405</v>
      </c>
      <c r="N13" s="138"/>
      <c r="O13" s="139"/>
      <c r="P13" s="139"/>
      <c r="Q13" s="139"/>
      <c r="R13" s="139"/>
      <c r="S13" s="139"/>
    </row>
    <row r="14" spans="1:19" x14ac:dyDescent="0.3">
      <c r="A14" s="262">
        <f>EINGABEN!B14</f>
        <v>1.5</v>
      </c>
      <c r="B14" s="262">
        <f>EINGABEN!D14</f>
        <v>2.25</v>
      </c>
      <c r="C14" s="262"/>
      <c r="D14" s="262">
        <f t="shared" si="6"/>
        <v>0.40546510810816438</v>
      </c>
      <c r="E14" s="262">
        <f t="shared" si="3"/>
        <v>2.25</v>
      </c>
      <c r="F14" s="262">
        <f>(C52+C54*D14)</f>
        <v>-49.806733551460212</v>
      </c>
      <c r="G14" s="262">
        <f t="shared" si="0"/>
        <v>0.91229649324336992</v>
      </c>
      <c r="H14" s="262">
        <f t="shared" si="1"/>
        <v>0.16440195389316542</v>
      </c>
      <c r="I14" s="262">
        <f t="shared" si="1"/>
        <v>5.0625</v>
      </c>
      <c r="J14" s="139">
        <f>IF(EINGABEN!C14="","",EINGABEN!C14)</f>
        <v>1.5</v>
      </c>
      <c r="K14" s="143">
        <f t="shared" si="2"/>
        <v>2.25</v>
      </c>
      <c r="L14" s="138">
        <f t="shared" si="4"/>
        <v>-49.806118537376925</v>
      </c>
      <c r="M14" s="138">
        <f t="shared" si="5"/>
        <v>2709.8394771774374</v>
      </c>
      <c r="N14" s="138"/>
      <c r="O14" s="139"/>
      <c r="P14" s="139"/>
      <c r="Q14" s="139"/>
      <c r="R14" s="139"/>
      <c r="S14" s="139"/>
    </row>
    <row r="15" spans="1:19" ht="15" thickBot="1" x14ac:dyDescent="0.35">
      <c r="A15" s="189">
        <f>EINGABEN!B15</f>
        <v>14</v>
      </c>
      <c r="B15" s="189">
        <f>EINGABEN!D15</f>
        <v>196</v>
      </c>
      <c r="C15" s="189"/>
      <c r="D15" s="189">
        <f t="shared" si="6"/>
        <v>2.6390573296152584</v>
      </c>
      <c r="E15" s="189">
        <f t="shared" si="3"/>
        <v>196</v>
      </c>
      <c r="F15" s="189">
        <f>(C52+C54*D15)</f>
        <v>156.24755417574525</v>
      </c>
      <c r="G15" s="262">
        <f t="shared" si="0"/>
        <v>517.25523660459066</v>
      </c>
      <c r="H15" s="262">
        <f t="shared" si="1"/>
        <v>6.9646235889960186</v>
      </c>
      <c r="I15" s="262">
        <f>(E15)^2</f>
        <v>38416</v>
      </c>
      <c r="J15" s="139">
        <f>IF(EINGABEN!C15="","",EINGABEN!C15)</f>
        <v>14</v>
      </c>
      <c r="K15" s="143">
        <f t="shared" si="2"/>
        <v>196</v>
      </c>
      <c r="L15" s="138">
        <f t="shared" si="4"/>
        <v>156.24762007030745</v>
      </c>
      <c r="M15" s="138">
        <f t="shared" si="5"/>
        <v>1580.2517100746231</v>
      </c>
      <c r="N15" s="138"/>
      <c r="O15" s="139"/>
      <c r="P15" s="139"/>
      <c r="Q15" s="139"/>
      <c r="R15" s="139"/>
      <c r="S15" s="139"/>
    </row>
    <row r="16" spans="1:19" ht="15" thickTop="1" x14ac:dyDescent="0.3">
      <c r="A16" s="190">
        <f>EINGABEN!B16</f>
        <v>1</v>
      </c>
      <c r="B16" s="191">
        <f>EINGABEN!D16</f>
        <v>0</v>
      </c>
      <c r="C16" s="191"/>
      <c r="D16" s="191">
        <f t="shared" si="6"/>
        <v>0</v>
      </c>
      <c r="E16" s="191">
        <f t="shared" si="3"/>
        <v>0</v>
      </c>
      <c r="F16" s="192">
        <f>(C52+C54*D16)</f>
        <v>-87.211871000000002</v>
      </c>
      <c r="G16" s="262">
        <f t="shared" si="0"/>
        <v>0</v>
      </c>
      <c r="H16" s="262">
        <f t="shared" si="1"/>
        <v>0</v>
      </c>
      <c r="I16" s="262">
        <f t="shared" si="1"/>
        <v>0</v>
      </c>
      <c r="J16" s="139" t="str">
        <f>IF(EINGABEN!C16="","",EINGABEN!C16)</f>
        <v/>
      </c>
      <c r="K16" s="143" t="str">
        <f t="shared" si="2"/>
        <v/>
      </c>
      <c r="L16" s="138" t="str">
        <f t="shared" si="4"/>
        <v/>
      </c>
      <c r="M16" s="138" t="str">
        <f t="shared" si="5"/>
        <v/>
      </c>
      <c r="N16" s="138"/>
    </row>
    <row r="17" spans="1:14" x14ac:dyDescent="0.3">
      <c r="A17" s="174">
        <f>EINGABEN!B17</f>
        <v>1</v>
      </c>
      <c r="B17" s="170">
        <f>EINGABEN!D17</f>
        <v>0</v>
      </c>
      <c r="C17" s="170"/>
      <c r="D17" s="170">
        <f t="shared" si="6"/>
        <v>0</v>
      </c>
      <c r="E17" s="170">
        <f t="shared" si="3"/>
        <v>0</v>
      </c>
      <c r="F17" s="165">
        <f>(C52+C54*D17)</f>
        <v>-87.211871000000002</v>
      </c>
      <c r="G17" s="262">
        <f t="shared" si="0"/>
        <v>0</v>
      </c>
      <c r="H17" s="262">
        <f t="shared" si="1"/>
        <v>0</v>
      </c>
      <c r="I17" s="262">
        <f t="shared" si="1"/>
        <v>0</v>
      </c>
      <c r="J17" s="139" t="str">
        <f>IF(EINGABEN!C17="","",EINGABEN!C17)</f>
        <v/>
      </c>
      <c r="K17" s="143" t="str">
        <f t="shared" si="2"/>
        <v/>
      </c>
      <c r="L17" s="138" t="str">
        <f t="shared" si="4"/>
        <v/>
      </c>
      <c r="M17" s="138" t="str">
        <f t="shared" si="5"/>
        <v/>
      </c>
      <c r="N17" s="138"/>
    </row>
    <row r="18" spans="1:14" x14ac:dyDescent="0.3">
      <c r="A18" s="174">
        <f>EINGABEN!B18</f>
        <v>1</v>
      </c>
      <c r="B18" s="170">
        <f>EINGABEN!D18</f>
        <v>0</v>
      </c>
      <c r="C18" s="170"/>
      <c r="D18" s="170">
        <f t="shared" si="6"/>
        <v>0</v>
      </c>
      <c r="E18" s="170">
        <f t="shared" si="3"/>
        <v>0</v>
      </c>
      <c r="F18" s="165">
        <f>(C52+C54*D18)</f>
        <v>-87.211871000000002</v>
      </c>
      <c r="G18" s="262">
        <f t="shared" si="0"/>
        <v>0</v>
      </c>
      <c r="H18" s="262">
        <f t="shared" si="1"/>
        <v>0</v>
      </c>
      <c r="I18" s="262">
        <f t="shared" si="1"/>
        <v>0</v>
      </c>
      <c r="J18" s="139" t="str">
        <f>IF(EINGABEN!C18="","",EINGABEN!C18)</f>
        <v/>
      </c>
      <c r="K18" s="143" t="str">
        <f t="shared" si="2"/>
        <v/>
      </c>
      <c r="L18" s="144" t="str">
        <f t="shared" si="4"/>
        <v/>
      </c>
      <c r="M18" s="138" t="str">
        <f t="shared" si="5"/>
        <v/>
      </c>
      <c r="N18" s="138"/>
    </row>
    <row r="19" spans="1:14" x14ac:dyDescent="0.3">
      <c r="A19" s="174">
        <f>EINGABEN!B19</f>
        <v>1</v>
      </c>
      <c r="B19" s="170">
        <f>EINGABEN!D19</f>
        <v>0</v>
      </c>
      <c r="C19" s="170"/>
      <c r="D19" s="170">
        <f t="shared" si="6"/>
        <v>0</v>
      </c>
      <c r="E19" s="170">
        <f t="shared" si="3"/>
        <v>0</v>
      </c>
      <c r="F19" s="165">
        <f>(C52+C54*D19)</f>
        <v>-87.211871000000002</v>
      </c>
      <c r="G19" s="262">
        <f t="shared" si="0"/>
        <v>0</v>
      </c>
      <c r="H19" s="262">
        <f t="shared" si="1"/>
        <v>0</v>
      </c>
      <c r="I19" s="262">
        <f t="shared" si="1"/>
        <v>0</v>
      </c>
      <c r="J19" s="139" t="str">
        <f>IF(EINGABEN!C19="","",EINGABEN!C19)</f>
        <v/>
      </c>
      <c r="K19" s="143" t="str">
        <f t="shared" si="2"/>
        <v/>
      </c>
      <c r="L19" s="138" t="str">
        <f t="shared" si="4"/>
        <v/>
      </c>
      <c r="M19" s="144" t="str">
        <f t="shared" si="5"/>
        <v/>
      </c>
      <c r="N19" s="138"/>
    </row>
    <row r="20" spans="1:14" x14ac:dyDescent="0.3">
      <c r="A20" s="174">
        <f>EINGABEN!B20</f>
        <v>1</v>
      </c>
      <c r="B20" s="170">
        <f>EINGABEN!D20</f>
        <v>0</v>
      </c>
      <c r="C20" s="170"/>
      <c r="D20" s="170">
        <f t="shared" si="6"/>
        <v>0</v>
      </c>
      <c r="E20" s="170">
        <f t="shared" si="3"/>
        <v>0</v>
      </c>
      <c r="F20" s="165">
        <f>(C52+C54*D20)</f>
        <v>-87.211871000000002</v>
      </c>
      <c r="G20" s="262">
        <f t="shared" si="0"/>
        <v>0</v>
      </c>
      <c r="H20" s="262">
        <f t="shared" si="1"/>
        <v>0</v>
      </c>
      <c r="I20" s="262">
        <f t="shared" si="1"/>
        <v>0</v>
      </c>
      <c r="J20" s="139" t="str">
        <f>IF(EINGABEN!C20="","",EINGABEN!C20)</f>
        <v/>
      </c>
      <c r="K20" s="143" t="str">
        <f t="shared" si="2"/>
        <v/>
      </c>
      <c r="L20" s="138" t="str">
        <f t="shared" si="4"/>
        <v/>
      </c>
      <c r="M20" s="138" t="str">
        <f t="shared" si="5"/>
        <v/>
      </c>
      <c r="N20" s="138"/>
    </row>
    <row r="21" spans="1:14" x14ac:dyDescent="0.3">
      <c r="A21" s="174">
        <f>EINGABEN!B21</f>
        <v>1</v>
      </c>
      <c r="B21" s="170">
        <f>EINGABEN!D21</f>
        <v>0</v>
      </c>
      <c r="C21" s="170"/>
      <c r="D21" s="170">
        <f t="shared" si="6"/>
        <v>0</v>
      </c>
      <c r="E21" s="170">
        <f t="shared" si="3"/>
        <v>0</v>
      </c>
      <c r="F21" s="165">
        <f>(C52+C54*D21)</f>
        <v>-87.211871000000002</v>
      </c>
      <c r="G21" s="262">
        <f t="shared" si="0"/>
        <v>0</v>
      </c>
      <c r="H21" s="262">
        <f t="shared" si="1"/>
        <v>0</v>
      </c>
      <c r="I21" s="262">
        <f t="shared" si="1"/>
        <v>0</v>
      </c>
      <c r="J21" s="139" t="str">
        <f>IF(EINGABEN!C21="","",EINGABEN!C21)</f>
        <v/>
      </c>
      <c r="K21" s="143" t="str">
        <f t="shared" si="2"/>
        <v/>
      </c>
      <c r="L21" s="138" t="str">
        <f t="shared" si="4"/>
        <v/>
      </c>
      <c r="M21" s="138" t="str">
        <f t="shared" si="5"/>
        <v/>
      </c>
      <c r="N21" s="138"/>
    </row>
    <row r="22" spans="1:14" x14ac:dyDescent="0.3">
      <c r="A22" s="174">
        <f>EINGABEN!B22</f>
        <v>1</v>
      </c>
      <c r="B22" s="170">
        <f>EINGABEN!D22</f>
        <v>0</v>
      </c>
      <c r="C22" s="170"/>
      <c r="D22" s="170">
        <f t="shared" si="6"/>
        <v>0</v>
      </c>
      <c r="E22" s="170">
        <f t="shared" si="3"/>
        <v>0</v>
      </c>
      <c r="F22" s="165">
        <f>(C52+C54*D22)</f>
        <v>-87.211871000000002</v>
      </c>
      <c r="G22" s="262">
        <f t="shared" si="0"/>
        <v>0</v>
      </c>
      <c r="H22" s="262">
        <f t="shared" si="1"/>
        <v>0</v>
      </c>
      <c r="I22" s="262">
        <f t="shared" si="1"/>
        <v>0</v>
      </c>
      <c r="J22" s="139" t="str">
        <f>IF(EINGABEN!C22="","",EINGABEN!C22)</f>
        <v/>
      </c>
      <c r="K22" s="143" t="str">
        <f t="shared" si="2"/>
        <v/>
      </c>
      <c r="L22" s="138" t="str">
        <f t="shared" si="4"/>
        <v/>
      </c>
      <c r="M22" s="138" t="str">
        <f t="shared" si="5"/>
        <v/>
      </c>
      <c r="N22" s="138"/>
    </row>
    <row r="23" spans="1:14" x14ac:dyDescent="0.3">
      <c r="A23" s="174">
        <f>EINGABEN!B23</f>
        <v>1</v>
      </c>
      <c r="B23" s="170">
        <f>EINGABEN!D23</f>
        <v>0</v>
      </c>
      <c r="C23" s="170"/>
      <c r="D23" s="170">
        <f t="shared" si="6"/>
        <v>0</v>
      </c>
      <c r="E23" s="170">
        <f t="shared" si="3"/>
        <v>0</v>
      </c>
      <c r="F23" s="165">
        <f>(C52+C54*D23)</f>
        <v>-87.211871000000002</v>
      </c>
      <c r="G23" s="262">
        <f t="shared" si="0"/>
        <v>0</v>
      </c>
      <c r="H23" s="262">
        <f t="shared" si="1"/>
        <v>0</v>
      </c>
      <c r="I23" s="262">
        <f t="shared" si="1"/>
        <v>0</v>
      </c>
      <c r="J23" s="139" t="str">
        <f>IF(EINGABEN!C23="","",EINGABEN!C23)</f>
        <v/>
      </c>
      <c r="K23" s="143" t="str">
        <f t="shared" si="2"/>
        <v/>
      </c>
      <c r="L23" s="138" t="str">
        <f t="shared" si="4"/>
        <v/>
      </c>
      <c r="M23" s="138" t="str">
        <f t="shared" si="5"/>
        <v/>
      </c>
      <c r="N23" s="138"/>
    </row>
    <row r="24" spans="1:14" x14ac:dyDescent="0.3">
      <c r="A24" s="174">
        <f>EINGABEN!B24</f>
        <v>1</v>
      </c>
      <c r="B24" s="170">
        <f>EINGABEN!D24</f>
        <v>0</v>
      </c>
      <c r="C24" s="170"/>
      <c r="D24" s="170">
        <f t="shared" si="6"/>
        <v>0</v>
      </c>
      <c r="E24" s="170">
        <f t="shared" si="3"/>
        <v>0</v>
      </c>
      <c r="F24" s="165">
        <f>(C52+C54*D24)</f>
        <v>-87.211871000000002</v>
      </c>
      <c r="G24" s="262">
        <f t="shared" si="0"/>
        <v>0</v>
      </c>
      <c r="H24" s="262">
        <f t="shared" si="1"/>
        <v>0</v>
      </c>
      <c r="I24" s="262">
        <f t="shared" si="1"/>
        <v>0</v>
      </c>
      <c r="J24" s="139" t="str">
        <f>IF(EINGABEN!C24="","",EINGABEN!C24)</f>
        <v/>
      </c>
      <c r="K24" s="143" t="str">
        <f t="shared" si="2"/>
        <v/>
      </c>
      <c r="L24" s="138" t="str">
        <f t="shared" si="4"/>
        <v/>
      </c>
      <c r="M24" s="138" t="str">
        <f t="shared" si="5"/>
        <v/>
      </c>
      <c r="N24" s="138"/>
    </row>
    <row r="25" spans="1:14" x14ac:dyDescent="0.3">
      <c r="A25" s="174">
        <f>EINGABEN!B25</f>
        <v>1</v>
      </c>
      <c r="B25" s="170">
        <f>EINGABEN!D25</f>
        <v>0</v>
      </c>
      <c r="C25" s="170"/>
      <c r="D25" s="170">
        <f t="shared" si="6"/>
        <v>0</v>
      </c>
      <c r="E25" s="170">
        <f t="shared" si="3"/>
        <v>0</v>
      </c>
      <c r="F25" s="165">
        <f>(C52+C54*D25)</f>
        <v>-87.211871000000002</v>
      </c>
      <c r="G25" s="262">
        <f t="shared" si="0"/>
        <v>0</v>
      </c>
      <c r="H25" s="262">
        <f t="shared" si="1"/>
        <v>0</v>
      </c>
      <c r="I25" s="262">
        <f t="shared" si="1"/>
        <v>0</v>
      </c>
      <c r="J25" s="139" t="str">
        <f>IF(EINGABEN!C25="","",EINGABEN!C25)</f>
        <v/>
      </c>
      <c r="K25" s="143" t="str">
        <f t="shared" si="2"/>
        <v/>
      </c>
      <c r="L25" s="138" t="str">
        <f t="shared" si="4"/>
        <v/>
      </c>
      <c r="M25" s="138" t="str">
        <f t="shared" si="5"/>
        <v/>
      </c>
      <c r="N25" s="138"/>
    </row>
    <row r="26" spans="1:14" x14ac:dyDescent="0.3">
      <c r="A26" s="174">
        <f>EINGABEN!B26</f>
        <v>1</v>
      </c>
      <c r="B26" s="170">
        <f>EINGABEN!D26</f>
        <v>0</v>
      </c>
      <c r="C26" s="170"/>
      <c r="D26" s="170">
        <f t="shared" si="6"/>
        <v>0</v>
      </c>
      <c r="E26" s="170">
        <f t="shared" si="3"/>
        <v>0</v>
      </c>
      <c r="F26" s="165">
        <f>(C52+C54*D26)</f>
        <v>-87.211871000000002</v>
      </c>
      <c r="G26" s="262">
        <f t="shared" si="0"/>
        <v>0</v>
      </c>
      <c r="H26" s="262">
        <f t="shared" si="1"/>
        <v>0</v>
      </c>
      <c r="I26" s="262">
        <f t="shared" si="1"/>
        <v>0</v>
      </c>
      <c r="J26" s="139" t="str">
        <f>IF(EINGABEN!C26="","",EINGABEN!C26)</f>
        <v/>
      </c>
      <c r="K26" s="143" t="str">
        <f t="shared" si="2"/>
        <v/>
      </c>
      <c r="L26" s="138" t="str">
        <f t="shared" si="4"/>
        <v/>
      </c>
      <c r="M26" s="138" t="str">
        <f t="shared" si="5"/>
        <v/>
      </c>
      <c r="N26" s="138"/>
    </row>
    <row r="27" spans="1:14" x14ac:dyDescent="0.3">
      <c r="A27" s="174">
        <f>EINGABEN!B27</f>
        <v>1</v>
      </c>
      <c r="B27" s="170">
        <f>EINGABEN!D27</f>
        <v>0</v>
      </c>
      <c r="C27" s="170"/>
      <c r="D27" s="170">
        <f t="shared" si="6"/>
        <v>0</v>
      </c>
      <c r="E27" s="170">
        <f t="shared" si="3"/>
        <v>0</v>
      </c>
      <c r="F27" s="165">
        <f>(C52+C54*D27)</f>
        <v>-87.211871000000002</v>
      </c>
      <c r="G27" s="262">
        <f t="shared" si="0"/>
        <v>0</v>
      </c>
      <c r="H27" s="262">
        <f t="shared" si="1"/>
        <v>0</v>
      </c>
      <c r="I27" s="262">
        <f t="shared" si="1"/>
        <v>0</v>
      </c>
      <c r="J27" s="139" t="str">
        <f>IF(EINGABEN!C27="","",EINGABEN!C27)</f>
        <v/>
      </c>
      <c r="K27" s="143" t="str">
        <f t="shared" si="2"/>
        <v/>
      </c>
      <c r="L27" s="138" t="str">
        <f t="shared" si="4"/>
        <v/>
      </c>
      <c r="M27" s="138" t="str">
        <f t="shared" si="5"/>
        <v/>
      </c>
      <c r="N27" s="138"/>
    </row>
    <row r="28" spans="1:14" x14ac:dyDescent="0.3">
      <c r="A28" s="174">
        <f>EINGABEN!B28</f>
        <v>1</v>
      </c>
      <c r="B28" s="170">
        <f>EINGABEN!D28</f>
        <v>0</v>
      </c>
      <c r="C28" s="170"/>
      <c r="D28" s="170">
        <f t="shared" si="6"/>
        <v>0</v>
      </c>
      <c r="E28" s="170">
        <f t="shared" si="3"/>
        <v>0</v>
      </c>
      <c r="F28" s="165">
        <f>(C52+C54*D28)</f>
        <v>-87.211871000000002</v>
      </c>
      <c r="G28" s="262">
        <f t="shared" si="0"/>
        <v>0</v>
      </c>
      <c r="H28" s="262">
        <f t="shared" si="1"/>
        <v>0</v>
      </c>
      <c r="I28" s="262">
        <f t="shared" si="1"/>
        <v>0</v>
      </c>
      <c r="J28" s="139" t="str">
        <f>IF(EINGABEN!C28="","",EINGABEN!C28)</f>
        <v/>
      </c>
      <c r="K28" s="152" t="str">
        <f t="shared" si="2"/>
        <v/>
      </c>
      <c r="L28" s="139" t="str">
        <f t="shared" si="4"/>
        <v/>
      </c>
      <c r="M28" s="139" t="str">
        <f t="shared" si="5"/>
        <v/>
      </c>
      <c r="N28" s="139"/>
    </row>
    <row r="29" spans="1:14" x14ac:dyDescent="0.3">
      <c r="A29" s="174">
        <f>EINGABEN!B29</f>
        <v>1</v>
      </c>
      <c r="B29" s="170">
        <f>EINGABEN!D29</f>
        <v>0</v>
      </c>
      <c r="C29" s="170"/>
      <c r="D29" s="170">
        <f t="shared" si="6"/>
        <v>0</v>
      </c>
      <c r="E29" s="170">
        <f t="shared" si="3"/>
        <v>0</v>
      </c>
      <c r="F29" s="165">
        <f>(C52+C54*D29)</f>
        <v>-87.211871000000002</v>
      </c>
      <c r="G29" s="262">
        <f t="shared" si="0"/>
        <v>0</v>
      </c>
      <c r="H29" s="262">
        <f t="shared" si="1"/>
        <v>0</v>
      </c>
      <c r="I29" s="262">
        <f t="shared" si="1"/>
        <v>0</v>
      </c>
      <c r="J29" s="139" t="str">
        <f>IF(EINGABEN!C29="","",EINGABEN!C29)</f>
        <v/>
      </c>
      <c r="K29" s="152" t="str">
        <f t="shared" si="2"/>
        <v/>
      </c>
      <c r="L29" s="139" t="str">
        <f t="shared" si="4"/>
        <v/>
      </c>
      <c r="M29" s="139" t="str">
        <f t="shared" si="5"/>
        <v/>
      </c>
      <c r="N29" s="139"/>
    </row>
    <row r="30" spans="1:14" x14ac:dyDescent="0.3">
      <c r="A30" s="174">
        <f>EINGABEN!B30</f>
        <v>1</v>
      </c>
      <c r="B30" s="170">
        <f>EINGABEN!D30</f>
        <v>0</v>
      </c>
      <c r="C30" s="170"/>
      <c r="D30" s="170">
        <f t="shared" si="6"/>
        <v>0</v>
      </c>
      <c r="E30" s="170">
        <f t="shared" si="3"/>
        <v>0</v>
      </c>
      <c r="F30" s="165">
        <f>(C52+C54*D30)</f>
        <v>-87.211871000000002</v>
      </c>
      <c r="G30" s="262">
        <f t="shared" si="0"/>
        <v>0</v>
      </c>
      <c r="H30" s="262">
        <f t="shared" si="1"/>
        <v>0</v>
      </c>
      <c r="I30" s="262">
        <f t="shared" si="1"/>
        <v>0</v>
      </c>
      <c r="J30" s="139" t="str">
        <f>IF(EINGABEN!C30="","",EINGABEN!C30)</f>
        <v/>
      </c>
      <c r="K30" s="152" t="str">
        <f t="shared" si="2"/>
        <v/>
      </c>
      <c r="L30" s="139" t="str">
        <f t="shared" si="4"/>
        <v/>
      </c>
      <c r="M30" s="139" t="str">
        <f t="shared" si="5"/>
        <v/>
      </c>
      <c r="N30" s="139"/>
    </row>
    <row r="31" spans="1:14" x14ac:dyDescent="0.3">
      <c r="A31" s="174">
        <f>EINGABEN!B31</f>
        <v>1</v>
      </c>
      <c r="B31" s="170">
        <f>EINGABEN!D31</f>
        <v>0</v>
      </c>
      <c r="C31" s="170"/>
      <c r="D31" s="170">
        <f t="shared" si="6"/>
        <v>0</v>
      </c>
      <c r="E31" s="170">
        <f t="shared" si="3"/>
        <v>0</v>
      </c>
      <c r="F31" s="165">
        <f>(C52+C54*D31)</f>
        <v>-87.211871000000002</v>
      </c>
      <c r="G31" s="262">
        <f t="shared" si="0"/>
        <v>0</v>
      </c>
      <c r="H31" s="262">
        <f t="shared" si="1"/>
        <v>0</v>
      </c>
      <c r="I31" s="262">
        <f t="shared" si="1"/>
        <v>0</v>
      </c>
      <c r="J31" s="139" t="str">
        <f>IF(EINGABEN!C31="","",EINGABEN!C31)</f>
        <v/>
      </c>
      <c r="K31" s="152" t="str">
        <f t="shared" si="2"/>
        <v/>
      </c>
      <c r="L31" s="139" t="str">
        <f t="shared" si="4"/>
        <v/>
      </c>
      <c r="M31" s="139" t="str">
        <f t="shared" si="5"/>
        <v/>
      </c>
      <c r="N31" s="139"/>
    </row>
    <row r="32" spans="1:14" x14ac:dyDescent="0.3">
      <c r="A32" s="174">
        <f>EINGABEN!B32</f>
        <v>1</v>
      </c>
      <c r="B32" s="170">
        <f>EINGABEN!D32</f>
        <v>0</v>
      </c>
      <c r="C32" s="170"/>
      <c r="D32" s="170">
        <f t="shared" si="6"/>
        <v>0</v>
      </c>
      <c r="E32" s="170">
        <f t="shared" si="3"/>
        <v>0</v>
      </c>
      <c r="F32" s="165">
        <f>(C52+C54*D32)</f>
        <v>-87.211871000000002</v>
      </c>
      <c r="G32" s="262">
        <f t="shared" si="0"/>
        <v>0</v>
      </c>
      <c r="H32" s="262">
        <f t="shared" si="1"/>
        <v>0</v>
      </c>
      <c r="I32" s="262">
        <f t="shared" si="1"/>
        <v>0</v>
      </c>
      <c r="J32" s="139" t="str">
        <f>IF(EINGABEN!C32="","",EINGABEN!C32)</f>
        <v/>
      </c>
      <c r="K32" s="152" t="str">
        <f t="shared" si="2"/>
        <v/>
      </c>
      <c r="L32" s="139" t="str">
        <f t="shared" si="4"/>
        <v/>
      </c>
      <c r="M32" s="139" t="str">
        <f t="shared" si="5"/>
        <v/>
      </c>
      <c r="N32" s="139"/>
    </row>
    <row r="33" spans="1:14" x14ac:dyDescent="0.3">
      <c r="A33" s="174">
        <f>EINGABEN!B33</f>
        <v>1</v>
      </c>
      <c r="B33" s="170">
        <f>EINGABEN!D33</f>
        <v>0</v>
      </c>
      <c r="C33" s="170"/>
      <c r="D33" s="170">
        <f t="shared" si="6"/>
        <v>0</v>
      </c>
      <c r="E33" s="170">
        <f t="shared" si="3"/>
        <v>0</v>
      </c>
      <c r="F33" s="165">
        <f>(C52+C54*D33)</f>
        <v>-87.211871000000002</v>
      </c>
      <c r="G33" s="262">
        <f t="shared" si="0"/>
        <v>0</v>
      </c>
      <c r="H33" s="262">
        <f t="shared" si="1"/>
        <v>0</v>
      </c>
      <c r="I33" s="262">
        <f t="shared" si="1"/>
        <v>0</v>
      </c>
      <c r="J33" s="139" t="str">
        <f>IF(EINGABEN!C33="","",EINGABEN!C33)</f>
        <v/>
      </c>
      <c r="K33" s="152" t="str">
        <f t="shared" si="2"/>
        <v/>
      </c>
      <c r="L33" s="139" t="str">
        <f t="shared" si="4"/>
        <v/>
      </c>
      <c r="M33" s="139" t="str">
        <f t="shared" si="5"/>
        <v/>
      </c>
      <c r="N33" s="139"/>
    </row>
    <row r="34" spans="1:14" x14ac:dyDescent="0.3">
      <c r="A34" s="174">
        <f>EINGABEN!B34</f>
        <v>1</v>
      </c>
      <c r="B34" s="170">
        <f>EINGABEN!D34</f>
        <v>0</v>
      </c>
      <c r="C34" s="170"/>
      <c r="D34" s="170">
        <f t="shared" si="6"/>
        <v>0</v>
      </c>
      <c r="E34" s="170">
        <f t="shared" si="3"/>
        <v>0</v>
      </c>
      <c r="F34" s="165">
        <f>(C52+C54*D34)</f>
        <v>-87.211871000000002</v>
      </c>
      <c r="G34" s="262">
        <f t="shared" si="0"/>
        <v>0</v>
      </c>
      <c r="H34" s="262">
        <f t="shared" si="1"/>
        <v>0</v>
      </c>
      <c r="I34" s="262">
        <f t="shared" si="1"/>
        <v>0</v>
      </c>
      <c r="J34" s="139" t="str">
        <f>IF(EINGABEN!C34="","",EINGABEN!C34)</f>
        <v/>
      </c>
      <c r="K34" s="152" t="str">
        <f t="shared" si="2"/>
        <v/>
      </c>
      <c r="L34" s="139" t="str">
        <f t="shared" si="4"/>
        <v/>
      </c>
      <c r="M34" s="139" t="str">
        <f t="shared" si="5"/>
        <v/>
      </c>
      <c r="N34" s="139"/>
    </row>
    <row r="35" spans="1:14" x14ac:dyDescent="0.3">
      <c r="A35" s="174">
        <f>EINGABEN!B35</f>
        <v>1</v>
      </c>
      <c r="B35" s="170">
        <f>EINGABEN!D35</f>
        <v>0</v>
      </c>
      <c r="C35" s="170"/>
      <c r="D35" s="170">
        <f t="shared" si="6"/>
        <v>0</v>
      </c>
      <c r="E35" s="170">
        <f t="shared" si="3"/>
        <v>0</v>
      </c>
      <c r="F35" s="165">
        <f>(C52+C54*D35)</f>
        <v>-87.211871000000002</v>
      </c>
      <c r="G35" s="262">
        <f t="shared" si="0"/>
        <v>0</v>
      </c>
      <c r="H35" s="262">
        <f t="shared" si="1"/>
        <v>0</v>
      </c>
      <c r="I35" s="262">
        <f t="shared" si="1"/>
        <v>0</v>
      </c>
      <c r="J35" s="139" t="str">
        <f>IF(EINGABEN!C35="","",EINGABEN!C35)</f>
        <v/>
      </c>
      <c r="K35" s="152" t="str">
        <f t="shared" si="2"/>
        <v/>
      </c>
      <c r="L35" s="139" t="str">
        <f t="shared" si="4"/>
        <v/>
      </c>
      <c r="M35" s="139" t="str">
        <f t="shared" si="5"/>
        <v/>
      </c>
      <c r="N35" s="139"/>
    </row>
    <row r="36" spans="1:14" x14ac:dyDescent="0.3">
      <c r="A36" s="174">
        <f>EINGABEN!B36</f>
        <v>1</v>
      </c>
      <c r="B36" s="170">
        <f>EINGABEN!D36</f>
        <v>0</v>
      </c>
      <c r="C36" s="170"/>
      <c r="D36" s="170">
        <f t="shared" si="6"/>
        <v>0</v>
      </c>
      <c r="E36" s="170">
        <f t="shared" si="3"/>
        <v>0</v>
      </c>
      <c r="F36" s="165">
        <f>(C52+C54*D36)</f>
        <v>-87.211871000000002</v>
      </c>
      <c r="G36" s="262">
        <f t="shared" si="0"/>
        <v>0</v>
      </c>
      <c r="H36" s="262">
        <f t="shared" si="1"/>
        <v>0</v>
      </c>
      <c r="I36" s="262">
        <f t="shared" si="1"/>
        <v>0</v>
      </c>
      <c r="J36" s="139" t="str">
        <f>IF(EINGABEN!C36="","",EINGABEN!C36)</f>
        <v/>
      </c>
      <c r="K36" s="152" t="str">
        <f t="shared" si="2"/>
        <v/>
      </c>
      <c r="L36" s="139" t="str">
        <f t="shared" si="4"/>
        <v/>
      </c>
      <c r="M36" s="139" t="str">
        <f t="shared" si="5"/>
        <v/>
      </c>
      <c r="N36" s="139"/>
    </row>
    <row r="37" spans="1:14" x14ac:dyDescent="0.3">
      <c r="A37" s="174">
        <f>EINGABEN!B37</f>
        <v>1</v>
      </c>
      <c r="B37" s="170">
        <f>EINGABEN!D37</f>
        <v>0</v>
      </c>
      <c r="C37" s="170"/>
      <c r="D37" s="170">
        <f t="shared" si="6"/>
        <v>0</v>
      </c>
      <c r="E37" s="170">
        <f t="shared" si="3"/>
        <v>0</v>
      </c>
      <c r="F37" s="165">
        <f>(C52+C54*D37)</f>
        <v>-87.211871000000002</v>
      </c>
      <c r="G37" s="262">
        <f t="shared" si="0"/>
        <v>0</v>
      </c>
      <c r="H37" s="262">
        <f t="shared" si="1"/>
        <v>0</v>
      </c>
      <c r="I37" s="262">
        <f t="shared" si="1"/>
        <v>0</v>
      </c>
      <c r="J37" s="139" t="str">
        <f>IF(EINGABEN!C37="","",EINGABEN!C37)</f>
        <v/>
      </c>
      <c r="K37" s="152" t="str">
        <f t="shared" si="2"/>
        <v/>
      </c>
      <c r="L37" s="139" t="str">
        <f t="shared" si="4"/>
        <v/>
      </c>
      <c r="M37" s="139" t="str">
        <f t="shared" si="5"/>
        <v/>
      </c>
      <c r="N37" s="139"/>
    </row>
    <row r="38" spans="1:14" x14ac:dyDescent="0.3">
      <c r="A38" s="174">
        <f>EINGABEN!B38</f>
        <v>1</v>
      </c>
      <c r="B38" s="170">
        <f>EINGABEN!D38</f>
        <v>0</v>
      </c>
      <c r="C38" s="170"/>
      <c r="D38" s="170">
        <f t="shared" si="6"/>
        <v>0</v>
      </c>
      <c r="E38" s="170">
        <f t="shared" si="3"/>
        <v>0</v>
      </c>
      <c r="F38" s="165">
        <f>(C52+C54*D38)</f>
        <v>-87.211871000000002</v>
      </c>
      <c r="G38" s="262">
        <f t="shared" si="0"/>
        <v>0</v>
      </c>
      <c r="H38" s="262">
        <f t="shared" si="1"/>
        <v>0</v>
      </c>
      <c r="I38" s="262">
        <f t="shared" si="1"/>
        <v>0</v>
      </c>
      <c r="J38" s="139" t="str">
        <f>IF(EINGABEN!C38="","",EINGABEN!C38)</f>
        <v/>
      </c>
      <c r="K38" s="152" t="str">
        <f t="shared" si="2"/>
        <v/>
      </c>
      <c r="L38" s="139" t="str">
        <f t="shared" si="4"/>
        <v/>
      </c>
      <c r="M38" s="139" t="str">
        <f t="shared" si="5"/>
        <v/>
      </c>
      <c r="N38" s="139"/>
    </row>
    <row r="39" spans="1:14" x14ac:dyDescent="0.3">
      <c r="A39" s="174">
        <f>EINGABEN!B39</f>
        <v>1</v>
      </c>
      <c r="B39" s="170">
        <f>EINGABEN!D39</f>
        <v>0</v>
      </c>
      <c r="C39" s="170"/>
      <c r="D39" s="170">
        <f t="shared" si="6"/>
        <v>0</v>
      </c>
      <c r="E39" s="170">
        <f t="shared" si="3"/>
        <v>0</v>
      </c>
      <c r="F39" s="165">
        <f>(C52+C54*D39)</f>
        <v>-87.211871000000002</v>
      </c>
      <c r="G39" s="262">
        <f t="shared" si="0"/>
        <v>0</v>
      </c>
      <c r="H39" s="262">
        <f t="shared" si="1"/>
        <v>0</v>
      </c>
      <c r="I39" s="262">
        <f t="shared" si="1"/>
        <v>0</v>
      </c>
      <c r="J39" s="139" t="str">
        <f>IF(EINGABEN!C39="","",EINGABEN!C39)</f>
        <v/>
      </c>
      <c r="K39" s="152" t="str">
        <f t="shared" si="2"/>
        <v/>
      </c>
      <c r="L39" s="139" t="str">
        <f t="shared" si="4"/>
        <v/>
      </c>
      <c r="M39" s="139" t="str">
        <f t="shared" si="5"/>
        <v/>
      </c>
      <c r="N39" s="139"/>
    </row>
    <row r="40" spans="1:14" x14ac:dyDescent="0.3">
      <c r="A40" s="174">
        <f>EINGABEN!B40</f>
        <v>1</v>
      </c>
      <c r="B40" s="170">
        <f>EINGABEN!D40</f>
        <v>0</v>
      </c>
      <c r="C40" s="170"/>
      <c r="D40" s="170">
        <f t="shared" si="6"/>
        <v>0</v>
      </c>
      <c r="E40" s="170">
        <f t="shared" si="3"/>
        <v>0</v>
      </c>
      <c r="F40" s="165">
        <f>(C52+C54*D40)</f>
        <v>-87.211871000000002</v>
      </c>
      <c r="G40" s="262">
        <f t="shared" si="0"/>
        <v>0</v>
      </c>
      <c r="H40" s="262">
        <f t="shared" si="1"/>
        <v>0</v>
      </c>
      <c r="I40" s="262">
        <f t="shared" si="1"/>
        <v>0</v>
      </c>
      <c r="J40" s="139" t="str">
        <f>IF(EINGABEN!C40="","",EINGABEN!C40)</f>
        <v/>
      </c>
      <c r="K40" s="152" t="str">
        <f t="shared" si="2"/>
        <v/>
      </c>
      <c r="L40" s="139" t="str">
        <f t="shared" si="4"/>
        <v/>
      </c>
      <c r="M40" s="139" t="str">
        <f t="shared" si="5"/>
        <v/>
      </c>
      <c r="N40" s="139"/>
    </row>
    <row r="41" spans="1:14" x14ac:dyDescent="0.3">
      <c r="A41" s="174">
        <f>EINGABEN!B41</f>
        <v>1</v>
      </c>
      <c r="B41" s="170">
        <f>EINGABEN!D41</f>
        <v>0</v>
      </c>
      <c r="C41" s="170"/>
      <c r="D41" s="170">
        <f t="shared" si="6"/>
        <v>0</v>
      </c>
      <c r="E41" s="170">
        <f t="shared" si="3"/>
        <v>0</v>
      </c>
      <c r="F41" s="165">
        <f>(C52+C54*D41)</f>
        <v>-87.211871000000002</v>
      </c>
      <c r="G41" s="262">
        <f t="shared" si="0"/>
        <v>0</v>
      </c>
      <c r="H41" s="262">
        <f t="shared" si="1"/>
        <v>0</v>
      </c>
      <c r="I41" s="262">
        <f t="shared" si="1"/>
        <v>0</v>
      </c>
      <c r="J41" s="139" t="str">
        <f>IF(EINGABEN!C41="","",EINGABEN!C41)</f>
        <v/>
      </c>
      <c r="K41" s="152" t="str">
        <f t="shared" si="2"/>
        <v/>
      </c>
      <c r="L41" s="139" t="str">
        <f t="shared" si="4"/>
        <v/>
      </c>
      <c r="M41" s="139" t="str">
        <f t="shared" si="5"/>
        <v/>
      </c>
      <c r="N41" s="139"/>
    </row>
    <row r="42" spans="1:14" x14ac:dyDescent="0.3">
      <c r="A42" s="174">
        <f>EINGABEN!B42</f>
        <v>1</v>
      </c>
      <c r="B42" s="170">
        <f>EINGABEN!D42</f>
        <v>0</v>
      </c>
      <c r="C42" s="170"/>
      <c r="D42" s="170">
        <f t="shared" si="6"/>
        <v>0</v>
      </c>
      <c r="E42" s="170">
        <f t="shared" si="3"/>
        <v>0</v>
      </c>
      <c r="F42" s="165">
        <f>(C52+C54*D42)</f>
        <v>-87.211871000000002</v>
      </c>
      <c r="G42" s="262">
        <f t="shared" si="0"/>
        <v>0</v>
      </c>
      <c r="H42" s="262">
        <f t="shared" si="1"/>
        <v>0</v>
      </c>
      <c r="I42" s="262">
        <f t="shared" si="1"/>
        <v>0</v>
      </c>
      <c r="J42" s="139" t="str">
        <f>IF(EINGABEN!C42="","",EINGABEN!C42)</f>
        <v/>
      </c>
      <c r="K42" s="152" t="str">
        <f t="shared" si="2"/>
        <v/>
      </c>
      <c r="L42" s="139" t="str">
        <f t="shared" si="4"/>
        <v/>
      </c>
      <c r="M42" s="139" t="str">
        <f t="shared" si="5"/>
        <v/>
      </c>
      <c r="N42" s="139"/>
    </row>
    <row r="43" spans="1:14" x14ac:dyDescent="0.3">
      <c r="A43" s="174">
        <f>EINGABEN!B43</f>
        <v>1</v>
      </c>
      <c r="B43" s="170">
        <f>EINGABEN!D43</f>
        <v>0</v>
      </c>
      <c r="C43" s="170"/>
      <c r="D43" s="170">
        <f t="shared" si="6"/>
        <v>0</v>
      </c>
      <c r="E43" s="170">
        <f t="shared" si="3"/>
        <v>0</v>
      </c>
      <c r="F43" s="165">
        <f>(C52+C54*D43)</f>
        <v>-87.211871000000002</v>
      </c>
      <c r="G43" s="262">
        <f t="shared" si="0"/>
        <v>0</v>
      </c>
      <c r="H43" s="262">
        <f t="shared" si="1"/>
        <v>0</v>
      </c>
      <c r="I43" s="262">
        <f t="shared" si="1"/>
        <v>0</v>
      </c>
      <c r="J43" s="139" t="str">
        <f>IF(EINGABEN!C43="","",EINGABEN!C43)</f>
        <v/>
      </c>
      <c r="K43" s="152" t="str">
        <f t="shared" si="2"/>
        <v/>
      </c>
      <c r="L43" s="139" t="str">
        <f t="shared" si="4"/>
        <v/>
      </c>
      <c r="M43" s="139" t="str">
        <f t="shared" si="5"/>
        <v/>
      </c>
      <c r="N43" s="139"/>
    </row>
    <row r="44" spans="1:14" x14ac:dyDescent="0.3">
      <c r="A44" s="174">
        <f>EINGABEN!B44</f>
        <v>1</v>
      </c>
      <c r="B44" s="170">
        <f>EINGABEN!D44</f>
        <v>0</v>
      </c>
      <c r="C44" s="170"/>
      <c r="D44" s="170">
        <f t="shared" si="6"/>
        <v>0</v>
      </c>
      <c r="E44" s="170">
        <f t="shared" si="3"/>
        <v>0</v>
      </c>
      <c r="F44" s="165">
        <f>(C52+C54*D44)</f>
        <v>-87.211871000000002</v>
      </c>
      <c r="G44" s="262">
        <f t="shared" si="0"/>
        <v>0</v>
      </c>
      <c r="H44" s="262">
        <f t="shared" si="1"/>
        <v>0</v>
      </c>
      <c r="I44" s="262">
        <f t="shared" si="1"/>
        <v>0</v>
      </c>
      <c r="J44" s="139" t="str">
        <f>IF(EINGABEN!C44="","",EINGABEN!C44)</f>
        <v/>
      </c>
      <c r="K44" s="152" t="str">
        <f t="shared" si="2"/>
        <v/>
      </c>
      <c r="L44" s="139" t="str">
        <f t="shared" si="4"/>
        <v/>
      </c>
      <c r="M44" s="139" t="str">
        <f t="shared" si="5"/>
        <v/>
      </c>
      <c r="N44" s="139"/>
    </row>
    <row r="45" spans="1:14" ht="15" thickBot="1" x14ac:dyDescent="0.35">
      <c r="A45" s="193">
        <f>EINGABEN!B45</f>
        <v>1</v>
      </c>
      <c r="B45" s="184">
        <f>EINGABEN!D45</f>
        <v>0</v>
      </c>
      <c r="C45" s="184"/>
      <c r="D45" s="184">
        <f t="shared" si="6"/>
        <v>0</v>
      </c>
      <c r="E45" s="184">
        <f t="shared" si="3"/>
        <v>0</v>
      </c>
      <c r="F45" s="194">
        <f>(C52+C54*D45)</f>
        <v>-87.211871000000002</v>
      </c>
      <c r="G45" s="262">
        <f t="shared" si="0"/>
        <v>0</v>
      </c>
      <c r="H45" s="262">
        <f t="shared" si="1"/>
        <v>0</v>
      </c>
      <c r="I45" s="262">
        <f t="shared" si="1"/>
        <v>0</v>
      </c>
      <c r="J45" s="139" t="str">
        <f>IF(EINGABEN!C45="","",EINGABEN!C45)</f>
        <v/>
      </c>
      <c r="K45" s="139"/>
      <c r="L45" s="139" t="str">
        <f t="shared" si="4"/>
        <v/>
      </c>
      <c r="M45" s="139" t="str">
        <f t="shared" si="5"/>
        <v/>
      </c>
      <c r="N45" s="139"/>
    </row>
    <row r="46" spans="1:14" ht="15" thickTop="1" x14ac:dyDescent="0.3">
      <c r="A46" s="153" t="s">
        <v>44</v>
      </c>
      <c r="B46" s="154"/>
      <c r="C46" s="154"/>
      <c r="D46" s="154"/>
      <c r="E46" s="154"/>
      <c r="F46" s="149"/>
      <c r="G46" s="152"/>
      <c r="H46" s="152"/>
      <c r="I46" s="152"/>
      <c r="J46" s="139"/>
      <c r="K46" s="152"/>
      <c r="L46" s="155" t="s">
        <v>116</v>
      </c>
      <c r="M46" s="156">
        <f>((SUM(M6:M45))/((EINGABEN!D46)-1))^0.5</f>
        <v>39.461517072560191</v>
      </c>
      <c r="N46" s="139"/>
    </row>
    <row r="47" spans="1:14" x14ac:dyDescent="0.3">
      <c r="A47" s="157" t="s">
        <v>40</v>
      </c>
      <c r="B47" s="158" t="s">
        <v>45</v>
      </c>
      <c r="C47" s="158"/>
      <c r="D47" s="158"/>
      <c r="E47" s="158"/>
      <c r="F47" s="151"/>
      <c r="G47" s="152"/>
      <c r="H47" s="152"/>
      <c r="I47" s="152"/>
      <c r="J47" s="139"/>
      <c r="K47" s="152"/>
      <c r="L47" s="139"/>
      <c r="M47" s="139"/>
      <c r="N47" s="139"/>
    </row>
    <row r="48" spans="1:14" x14ac:dyDescent="0.3">
      <c r="A48" s="157" t="s">
        <v>41</v>
      </c>
      <c r="B48" s="276" t="s">
        <v>103</v>
      </c>
      <c r="C48" s="276"/>
      <c r="D48" s="276"/>
      <c r="E48" s="276"/>
      <c r="F48" s="151"/>
      <c r="G48" s="152"/>
      <c r="H48" s="152"/>
      <c r="I48" s="152"/>
      <c r="J48" s="139"/>
      <c r="K48" s="155" t="s">
        <v>117</v>
      </c>
      <c r="L48" s="156">
        <f>(SUM(L6:L45))/(EINGABEN!D46)</f>
        <v>82.2751961074039</v>
      </c>
      <c r="M48" s="139"/>
      <c r="N48" s="139"/>
    </row>
    <row r="49" spans="1:14" ht="15" thickBot="1" x14ac:dyDescent="0.35">
      <c r="A49" s="159" t="s">
        <v>39</v>
      </c>
      <c r="B49" s="160"/>
      <c r="C49" s="160"/>
      <c r="D49" s="160"/>
      <c r="E49" s="160"/>
      <c r="F49" s="161"/>
      <c r="G49" s="152"/>
      <c r="H49" s="152"/>
      <c r="I49" s="152"/>
      <c r="J49" s="139"/>
      <c r="K49" s="152"/>
      <c r="L49" s="139"/>
      <c r="M49" s="139"/>
      <c r="N49" s="139"/>
    </row>
    <row r="50" spans="1:14" ht="15" thickTop="1" x14ac:dyDescent="0.3">
      <c r="A50" s="153"/>
      <c r="B50" s="154"/>
      <c r="C50" s="154"/>
      <c r="D50" s="154"/>
      <c r="E50" s="154"/>
      <c r="F50" s="149"/>
      <c r="G50" s="152"/>
      <c r="H50" s="152"/>
      <c r="I50" s="152"/>
      <c r="J50" s="139"/>
      <c r="K50" s="152"/>
      <c r="L50" s="139"/>
      <c r="M50" s="139"/>
      <c r="N50" s="139"/>
    </row>
    <row r="51" spans="1:14" x14ac:dyDescent="0.3">
      <c r="A51" s="175"/>
      <c r="B51" s="61"/>
      <c r="C51" s="61"/>
      <c r="D51" s="61"/>
      <c r="E51" s="61"/>
      <c r="F51" s="177"/>
    </row>
    <row r="52" spans="1:14" x14ac:dyDescent="0.3">
      <c r="A52" s="62" t="s">
        <v>11</v>
      </c>
      <c r="B52" s="65"/>
      <c r="C52" s="195">
        <f>IF(MIN(EINGABEN!C6:'EINGABEN'!C45)&lt;1,"keine Lösung",IF(D59=0,0,ROUND(((E4-C54*D4)/C4),6)))</f>
        <v>-87.211871000000002</v>
      </c>
      <c r="D52" s="61"/>
      <c r="E52" s="61"/>
      <c r="F52" s="177"/>
    </row>
    <row r="53" spans="1:14" x14ac:dyDescent="0.3">
      <c r="A53" s="62"/>
      <c r="B53" s="65"/>
      <c r="C53" s="65"/>
      <c r="D53" s="61"/>
      <c r="E53" s="61"/>
      <c r="F53" s="177"/>
    </row>
    <row r="54" spans="1:14" x14ac:dyDescent="0.3">
      <c r="A54" s="62" t="s">
        <v>12</v>
      </c>
      <c r="B54" s="65"/>
      <c r="C54" s="195">
        <f>IF(MIN(EINGABEN!C6:'EINGABEN'!C45)&lt;1,"keine Lösung",IF(D59=0,0,ROUND(((C4*G4-D4*E4)/(C4*H4-D4^2)),6)))</f>
        <v>92.252420000000001</v>
      </c>
      <c r="D54" s="61"/>
      <c r="E54" s="61"/>
      <c r="F54" s="177"/>
    </row>
    <row r="55" spans="1:14" x14ac:dyDescent="0.3">
      <c r="A55" s="62"/>
      <c r="B55" s="65"/>
      <c r="C55" s="65"/>
      <c r="D55" s="61"/>
      <c r="E55" s="61"/>
      <c r="F55" s="177"/>
    </row>
    <row r="56" spans="1:14" x14ac:dyDescent="0.3">
      <c r="A56" s="62" t="s">
        <v>13</v>
      </c>
      <c r="B56" s="65"/>
      <c r="C56" s="195">
        <f>IF(MIN(EINGABEN!C6:'EINGABEN'!C45)&lt;1,"keine Lösung",IF(D59=0,0,IF(D58/D59&gt;1,1,ROUND(ABS(D58/D59),6))))</f>
        <v>0.87385900000000005</v>
      </c>
      <c r="D56" s="61"/>
      <c r="E56" s="61"/>
      <c r="F56" s="177"/>
    </row>
    <row r="57" spans="1:14" ht="15" thickBot="1" x14ac:dyDescent="0.35">
      <c r="A57" s="175"/>
      <c r="B57" s="61"/>
      <c r="C57" s="61"/>
      <c r="D57" s="61"/>
      <c r="E57" s="61"/>
      <c r="F57" s="196"/>
    </row>
    <row r="58" spans="1:14" ht="15" thickTop="1" x14ac:dyDescent="0.3">
      <c r="A58" s="197" t="s">
        <v>14</v>
      </c>
      <c r="B58" s="198"/>
      <c r="C58" s="199" t="s">
        <v>19</v>
      </c>
      <c r="D58" s="199">
        <f>(C4*G4-(D4*E4))</f>
        <v>4908.0008155451815</v>
      </c>
      <c r="E58" s="200" t="s">
        <v>71</v>
      </c>
      <c r="F58" s="177"/>
    </row>
    <row r="59" spans="1:14" x14ac:dyDescent="0.3">
      <c r="A59" s="175"/>
      <c r="B59" s="61"/>
      <c r="C59" s="201" t="s">
        <v>20</v>
      </c>
      <c r="D59" s="201">
        <f>((C4*H4-(D4)^2)*(C4*I4-(E4)^2))^0.5</f>
        <v>5616.4650354705154</v>
      </c>
      <c r="E59" s="202" t="s">
        <v>71</v>
      </c>
      <c r="F59" s="177"/>
    </row>
    <row r="60" spans="1:14" x14ac:dyDescent="0.3">
      <c r="A60" s="175"/>
      <c r="C60" s="271" t="s">
        <v>110</v>
      </c>
      <c r="D60" s="272"/>
      <c r="E60" s="176">
        <f>IF(EINGABEN!D46&lt;10,"Anzahl zu klein",ROUND((E61*(1+E64/100)),2))</f>
        <v>391.91</v>
      </c>
      <c r="F60" s="177"/>
    </row>
    <row r="61" spans="1:14" x14ac:dyDescent="0.3">
      <c r="A61" s="30" t="s">
        <v>15</v>
      </c>
      <c r="B61" s="132">
        <v>10</v>
      </c>
      <c r="C61" s="65" t="s">
        <v>16</v>
      </c>
      <c r="D61" s="65" t="s">
        <v>72</v>
      </c>
      <c r="E61" s="180">
        <f>IF(MIN(EINGABEN!C6:'EINGABEN'!C45)&lt;1,"keine Lösung",IF(C56=0,0,ROUND((C52+C54*(LN(B61+0.00001))),2)))</f>
        <v>125.21</v>
      </c>
      <c r="F61" s="177"/>
    </row>
    <row r="62" spans="1:14" x14ac:dyDescent="0.3">
      <c r="A62" s="203" t="s">
        <v>63</v>
      </c>
      <c r="B62" s="50" t="s">
        <v>129</v>
      </c>
      <c r="C62" s="271" t="s">
        <v>111</v>
      </c>
      <c r="D62" s="272"/>
      <c r="E62" s="182">
        <f>IF(EINGABEN!D46&lt;10,"Anzahl zu klein",ROUND((E61*(1-E64/100)),2))</f>
        <v>-141.49</v>
      </c>
      <c r="F62" s="177"/>
    </row>
    <row r="63" spans="1:14" x14ac:dyDescent="0.3">
      <c r="A63" s="30" t="s">
        <v>17</v>
      </c>
      <c r="B63" s="187">
        <v>125.21</v>
      </c>
      <c r="C63" s="65" t="s">
        <v>16</v>
      </c>
      <c r="D63" s="65" t="s">
        <v>70</v>
      </c>
      <c r="E63" s="180">
        <f>IF(MIN(EINGABEN!C6:'EINGABEN'!C45)&lt;1,"keine Lösung",IF(C56=0,0,ROUND((2.71828183^(((B63-C52)/C54))),2)))</f>
        <v>10</v>
      </c>
      <c r="F63" s="177"/>
    </row>
    <row r="64" spans="1:14" ht="15" thickBot="1" x14ac:dyDescent="0.35">
      <c r="A64" s="204" t="s">
        <v>65</v>
      </c>
      <c r="B64" s="205" t="s">
        <v>64</v>
      </c>
      <c r="C64" s="273" t="s">
        <v>119</v>
      </c>
      <c r="D64" s="273"/>
      <c r="E64" s="185">
        <f>IF(EINGABEN!D46&lt;10,"ANZAhl zu klein",ROUND((((2.868009*((LN(LN(EINGABEN!D46)))^-2.421118))*M46)/L48)*100,0))</f>
        <v>213</v>
      </c>
      <c r="F64" s="196"/>
    </row>
    <row r="65" spans="2:2" ht="15" thickTop="1" x14ac:dyDescent="0.3"/>
    <row r="68" spans="2:2" x14ac:dyDescent="0.3">
      <c r="B68" s="112"/>
    </row>
    <row r="81" spans="7:14" x14ac:dyDescent="0.3">
      <c r="G81" s="139"/>
      <c r="H81" s="139"/>
      <c r="I81" s="139"/>
      <c r="J81" s="139"/>
      <c r="K81" s="139"/>
      <c r="L81" s="139"/>
      <c r="M81" s="139"/>
      <c r="N81" s="139"/>
    </row>
    <row r="82" spans="7:14" x14ac:dyDescent="0.3">
      <c r="G82" s="139"/>
      <c r="H82" s="139"/>
      <c r="I82" s="139"/>
      <c r="J82" s="139"/>
      <c r="K82" s="139"/>
      <c r="L82" s="139"/>
      <c r="M82" s="139"/>
      <c r="N82" s="139"/>
    </row>
    <row r="83" spans="7:14" x14ac:dyDescent="0.3">
      <c r="G83" s="139"/>
      <c r="H83" s="139"/>
      <c r="I83" s="139"/>
      <c r="J83" s="139"/>
      <c r="K83" s="139"/>
      <c r="L83" s="139"/>
      <c r="M83" s="139"/>
      <c r="N83" s="139"/>
    </row>
  </sheetData>
  <sheetProtection algorithmName="SHA-512" hashValue="V+aPfQLI8kfbSzgZy5pfAo9Lwmhbbr4KiUI+Qr9Lu38+O+MlLrV/JMj7fJbAQQOJAPojsA+9HuiuNQ295u6GTA==" saltValue="7l/faE0VAh7QpVSQoEbiPw==" spinCount="100000" sheet="1" objects="1" scenarios="1"/>
  <mergeCells count="5">
    <mergeCell ref="A4:B4"/>
    <mergeCell ref="B48:E48"/>
    <mergeCell ref="C60:D60"/>
    <mergeCell ref="C62:D62"/>
    <mergeCell ref="C64:D64"/>
  </mergeCells>
  <dataValidations count="1">
    <dataValidation type="decimal" operator="greaterThanOrEqual" allowBlank="1" showInputMessage="1" showErrorMessage="1" sqref="B61" xr:uid="{93A672CD-AA6F-4C0D-B6DC-873C28674355}">
      <formula1>1</formula1>
    </dataValidation>
  </dataValidations>
  <pageMargins left="0.7" right="0.7" top="0.78740157499999996" bottom="0.78740157499999996" header="0.3" footer="0.3"/>
  <pageSetup paperSize="9" orientation="portrait" horizontalDpi="4294967293" vertic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A65"/>
  <sheetViews>
    <sheetView topLeftCell="A16" zoomScaleNormal="100" workbookViewId="0">
      <selection activeCell="J50" sqref="J50"/>
    </sheetView>
  </sheetViews>
  <sheetFormatPr baseColWidth="10" defaultRowHeight="14.4" x14ac:dyDescent="0.3"/>
  <cols>
    <col min="1" max="1" width="19.33203125" style="140" customWidth="1"/>
    <col min="2" max="2" width="11.6640625" style="140" bestFit="1" customWidth="1"/>
    <col min="3" max="3" width="18.77734375" style="140" customWidth="1"/>
    <col min="4" max="4" width="12" style="140" bestFit="1" customWidth="1"/>
    <col min="5" max="5" width="11.6640625" style="140" bestFit="1" customWidth="1"/>
    <col min="6" max="6" width="11.5546875" style="140" customWidth="1"/>
    <col min="7" max="7" width="11.6640625" style="140" bestFit="1" customWidth="1"/>
    <col min="8" max="8" width="12" style="140" bestFit="1" customWidth="1"/>
    <col min="9" max="9" width="11.6640625" style="140" bestFit="1" customWidth="1"/>
    <col min="10" max="10" width="18.109375" style="140" customWidth="1"/>
    <col min="11" max="11" width="31.88671875" style="140" customWidth="1"/>
    <col min="12" max="12" width="29" style="140" customWidth="1"/>
    <col min="13" max="13" width="16.6640625" style="140" customWidth="1"/>
    <col min="14" max="14" width="20.109375" style="140" customWidth="1"/>
    <col min="15" max="15" width="13.5546875" style="140" customWidth="1"/>
    <col min="16" max="16384" width="11.5546875" style="140"/>
  </cols>
  <sheetData>
    <row r="1" spans="1:27" ht="18" x14ac:dyDescent="0.35">
      <c r="A1" s="135" t="s">
        <v>67</v>
      </c>
      <c r="B1" s="135"/>
      <c r="C1" s="135"/>
      <c r="D1" s="135"/>
      <c r="E1" s="135"/>
      <c r="F1" s="135"/>
      <c r="G1" s="135"/>
      <c r="H1" s="135"/>
      <c r="I1" s="206"/>
      <c r="J1" s="143"/>
      <c r="K1" s="138"/>
      <c r="L1" s="138"/>
      <c r="M1" s="138"/>
      <c r="N1" s="138"/>
      <c r="O1" s="138"/>
      <c r="P1" s="139"/>
      <c r="Q1" s="139"/>
      <c r="R1" s="139"/>
      <c r="S1" s="139"/>
      <c r="T1" s="139"/>
      <c r="U1" s="139"/>
      <c r="V1" s="139"/>
      <c r="W1" s="139"/>
      <c r="X1" s="139"/>
      <c r="Y1" s="139"/>
      <c r="Z1" s="139"/>
      <c r="AA1" s="139"/>
    </row>
    <row r="2" spans="1:27" x14ac:dyDescent="0.3">
      <c r="A2" s="141"/>
      <c r="B2" s="141"/>
      <c r="C2" s="261"/>
      <c r="D2" s="261"/>
      <c r="E2" s="261"/>
      <c r="F2" s="261"/>
      <c r="G2" s="261"/>
      <c r="H2" s="141"/>
      <c r="I2" s="137"/>
      <c r="J2" s="143"/>
      <c r="K2" s="138"/>
      <c r="L2" s="138"/>
      <c r="M2" s="138"/>
      <c r="N2" s="138"/>
      <c r="O2" s="138"/>
      <c r="P2" s="139"/>
      <c r="Q2" s="139"/>
      <c r="R2" s="139"/>
      <c r="S2" s="139"/>
      <c r="T2" s="139"/>
      <c r="U2" s="139"/>
      <c r="V2" s="139"/>
      <c r="W2" s="139"/>
      <c r="X2" s="139"/>
      <c r="Y2" s="139"/>
      <c r="Z2" s="139"/>
      <c r="AA2" s="139"/>
    </row>
    <row r="3" spans="1:27" x14ac:dyDescent="0.3">
      <c r="A3" s="141"/>
      <c r="B3" s="141"/>
      <c r="C3" s="141" t="s">
        <v>0</v>
      </c>
      <c r="D3" s="142" t="s">
        <v>1</v>
      </c>
      <c r="E3" s="141" t="s">
        <v>2</v>
      </c>
      <c r="F3" s="141" t="s">
        <v>21</v>
      </c>
      <c r="G3" s="141" t="s">
        <v>3</v>
      </c>
      <c r="H3" s="141" t="s">
        <v>4</v>
      </c>
      <c r="I3" s="141" t="s">
        <v>140</v>
      </c>
      <c r="J3" s="143"/>
      <c r="K3" s="138"/>
      <c r="L3" s="138"/>
      <c r="M3" s="138"/>
      <c r="N3" s="138"/>
      <c r="O3" s="138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  <c r="AA3" s="139"/>
    </row>
    <row r="4" spans="1:27" x14ac:dyDescent="0.3">
      <c r="A4" s="269" t="s">
        <v>141</v>
      </c>
      <c r="B4" s="269"/>
      <c r="C4" s="141">
        <f>EINGABEN!$D$46</f>
        <v>10</v>
      </c>
      <c r="D4" s="141">
        <f>IF(MIN(A6:A45)&lt;1,0,ROUND(SUM(D6:D45),3))</f>
        <v>4.8550000000000004</v>
      </c>
      <c r="E4" s="141">
        <f>ROUND(SUM(E6:E45),3)</f>
        <v>822.75</v>
      </c>
      <c r="F4" s="143" t="s">
        <v>22</v>
      </c>
      <c r="G4" s="141">
        <f>IF(MIN(A6:A45)&lt;1,0,ROUND(SUM(G6:G45),3))</f>
        <v>719.22500000000002</v>
      </c>
      <c r="H4" s="141">
        <f>IF(MIN(A6:A45)&lt;1,0,ROUND(SUM(H6:H45),3))</f>
        <v>5.5330000000000004</v>
      </c>
      <c r="I4" s="141">
        <f>ROUND(SUM(I6:I45),3)</f>
        <v>126984.18799999999</v>
      </c>
      <c r="J4" s="143"/>
      <c r="K4" s="138"/>
      <c r="L4" s="138"/>
      <c r="M4" s="138"/>
      <c r="N4" s="138"/>
      <c r="O4" s="138"/>
      <c r="P4" s="139"/>
      <c r="Q4" s="139"/>
      <c r="R4" s="139"/>
      <c r="S4" s="139"/>
      <c r="T4" s="139"/>
      <c r="U4" s="139"/>
      <c r="V4" s="139"/>
      <c r="W4" s="139"/>
      <c r="X4" s="139"/>
      <c r="Y4" s="139"/>
      <c r="Z4" s="139"/>
      <c r="AA4" s="139"/>
    </row>
    <row r="5" spans="1:27" x14ac:dyDescent="0.3">
      <c r="A5" s="141" t="s">
        <v>8</v>
      </c>
      <c r="B5" s="141" t="s">
        <v>9</v>
      </c>
      <c r="C5" s="141" t="s">
        <v>38</v>
      </c>
      <c r="D5" s="141" t="s">
        <v>5</v>
      </c>
      <c r="E5" s="141" t="s">
        <v>6</v>
      </c>
      <c r="F5" s="141" t="s">
        <v>23</v>
      </c>
      <c r="G5" s="141" t="s">
        <v>10</v>
      </c>
      <c r="H5" s="141" t="s">
        <v>7</v>
      </c>
      <c r="I5" s="142" t="s">
        <v>18</v>
      </c>
      <c r="J5" s="139" t="s">
        <v>114</v>
      </c>
      <c r="K5" s="262" t="s">
        <v>112</v>
      </c>
      <c r="L5" s="144" t="s">
        <v>113</v>
      </c>
      <c r="M5" s="144" t="s">
        <v>115</v>
      </c>
      <c r="N5" s="138"/>
      <c r="O5" s="138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  <c r="AA5" s="139"/>
    </row>
    <row r="6" spans="1:27" x14ac:dyDescent="0.3">
      <c r="A6" s="141">
        <f>EINGABEN!A6</f>
        <v>8</v>
      </c>
      <c r="B6" s="141">
        <f>EINGABEN!D6</f>
        <v>64</v>
      </c>
      <c r="C6" s="141"/>
      <c r="D6" s="141">
        <f>(LN(((LN(A6+0.0001)))))</f>
        <v>0.73210537926014541</v>
      </c>
      <c r="E6" s="141">
        <f>(B6)</f>
        <v>64</v>
      </c>
      <c r="F6" s="143">
        <f>(C51+C53*D6)</f>
        <v>107.10559865239537</v>
      </c>
      <c r="G6" s="141">
        <f t="shared" ref="G6:G45" si="0">(D6*E6)</f>
        <v>46.854744272649306</v>
      </c>
      <c r="H6" s="141">
        <f t="shared" ref="H6:I45" si="1">(D6)^2</f>
        <v>0.53597828634164135</v>
      </c>
      <c r="I6" s="141">
        <f t="shared" si="1"/>
        <v>4096</v>
      </c>
      <c r="J6" s="139">
        <f>IF(EINGABEN!C6="","",EINGABEN!C6)</f>
        <v>8</v>
      </c>
      <c r="K6" s="143">
        <f t="shared" ref="K6:K44" si="2">IF(B6=0,"",B6)</f>
        <v>64</v>
      </c>
      <c r="L6" s="138">
        <f>IF(K6&lt;1,"",IF(J6="","",($C$51+$C$53*(LN((LN(J6+0.00001)))))))</f>
        <v>107.10505391644841</v>
      </c>
      <c r="M6" s="138">
        <f>IF(K6="","",(K6-L6)^2)</f>
        <v>1858.0456731399247</v>
      </c>
      <c r="N6" s="138"/>
      <c r="O6" s="138"/>
      <c r="P6" s="139"/>
      <c r="Q6" s="139"/>
      <c r="R6" s="139"/>
      <c r="S6" s="139"/>
      <c r="T6" s="139"/>
      <c r="U6" s="139"/>
      <c r="V6" s="139"/>
      <c r="W6" s="139"/>
      <c r="X6" s="139"/>
      <c r="Y6" s="139"/>
      <c r="Z6" s="139"/>
      <c r="AA6" s="139"/>
    </row>
    <row r="7" spans="1:27" x14ac:dyDescent="0.3">
      <c r="A7" s="141">
        <f>EINGABEN!A7</f>
        <v>7</v>
      </c>
      <c r="B7" s="141">
        <f>EINGABEN!D7</f>
        <v>49</v>
      </c>
      <c r="C7" s="141"/>
      <c r="D7" s="141">
        <f t="shared" ref="D7:D45" si="3">(LN(((LN(A7+0.0001)))))</f>
        <v>0.66573715190378169</v>
      </c>
      <c r="E7" s="141">
        <f t="shared" ref="E7:E45" si="4">(B7)</f>
        <v>49</v>
      </c>
      <c r="F7" s="143">
        <f>(C51+C53*D7)</f>
        <v>100.42300785622822</v>
      </c>
      <c r="G7" s="141">
        <f t="shared" si="0"/>
        <v>32.621120443285299</v>
      </c>
      <c r="H7" s="141">
        <f t="shared" si="1"/>
        <v>0.44320595542495889</v>
      </c>
      <c r="I7" s="141">
        <f t="shared" si="1"/>
        <v>2401</v>
      </c>
      <c r="J7" s="139">
        <f>IF(EINGABEN!C7="","",EINGABEN!C7)</f>
        <v>7</v>
      </c>
      <c r="K7" s="143">
        <f t="shared" si="2"/>
        <v>49</v>
      </c>
      <c r="L7" s="138">
        <f t="shared" ref="L7:L45" si="5">IF(K7&lt;1,"",IF(J7="","",($C$51+$C$53*(LN((LN(J7+0.00001)))))))</f>
        <v>100.42234258127905</v>
      </c>
      <c r="M7" s="138">
        <f t="shared" ref="M7:M45" si="6">IF(K7="","",(K7-L7)^2)</f>
        <v>2644.257316546425</v>
      </c>
      <c r="N7" s="138"/>
      <c r="O7" s="138"/>
      <c r="P7" s="139"/>
      <c r="Q7" s="139"/>
      <c r="R7" s="139"/>
      <c r="S7" s="139"/>
      <c r="T7" s="139"/>
      <c r="U7" s="139"/>
      <c r="V7" s="139"/>
      <c r="W7" s="139"/>
      <c r="X7" s="139"/>
      <c r="Y7" s="139"/>
      <c r="Z7" s="139"/>
      <c r="AA7" s="139"/>
    </row>
    <row r="8" spans="1:27" x14ac:dyDescent="0.3">
      <c r="A8" s="141">
        <f>EINGABEN!A8</f>
        <v>4</v>
      </c>
      <c r="B8" s="141">
        <f>EINGABEN!D8</f>
        <v>16</v>
      </c>
      <c r="C8" s="141"/>
      <c r="D8" s="141">
        <f t="shared" si="3"/>
        <v>0.32665229327827383</v>
      </c>
      <c r="E8" s="141">
        <f t="shared" si="4"/>
        <v>16</v>
      </c>
      <c r="F8" s="143">
        <f>(C51+C53*D8)</f>
        <v>66.280686362490428</v>
      </c>
      <c r="G8" s="141">
        <f t="shared" si="0"/>
        <v>5.2264366924523813</v>
      </c>
      <c r="H8" s="141">
        <f t="shared" si="1"/>
        <v>0.10670172070395542</v>
      </c>
      <c r="I8" s="141">
        <f t="shared" si="1"/>
        <v>256</v>
      </c>
      <c r="J8" s="139">
        <f>IF(EINGABEN!C8="","",EINGABEN!C8)</f>
        <v>4</v>
      </c>
      <c r="K8" s="143">
        <f t="shared" si="2"/>
        <v>16</v>
      </c>
      <c r="L8" s="138">
        <f t="shared" si="5"/>
        <v>66.279052176690143</v>
      </c>
      <c r="M8" s="138">
        <f t="shared" si="6"/>
        <v>2527.9830877863296</v>
      </c>
      <c r="N8" s="138"/>
      <c r="O8" s="138"/>
      <c r="P8" s="139"/>
      <c r="Q8" s="139"/>
      <c r="R8" s="139"/>
      <c r="S8" s="139"/>
      <c r="T8" s="139"/>
      <c r="U8" s="139"/>
      <c r="V8" s="139"/>
      <c r="W8" s="139"/>
      <c r="X8" s="139"/>
      <c r="Y8" s="139"/>
      <c r="Z8" s="139"/>
      <c r="AA8" s="139"/>
    </row>
    <row r="9" spans="1:27" x14ac:dyDescent="0.3">
      <c r="A9" s="141">
        <f>EINGABEN!A9</f>
        <v>2.5</v>
      </c>
      <c r="B9" s="141">
        <f>EINGABEN!D9</f>
        <v>6.25</v>
      </c>
      <c r="C9" s="141"/>
      <c r="D9" s="141">
        <f t="shared" si="3"/>
        <v>-8.7377919349881192E-2</v>
      </c>
      <c r="E9" s="141">
        <f t="shared" si="4"/>
        <v>6.25</v>
      </c>
      <c r="F9" s="143">
        <f>(C51+C53*D9)</f>
        <v>24.592146552804845</v>
      </c>
      <c r="G9" s="141">
        <f t="shared" si="0"/>
        <v>-0.54611199593675741</v>
      </c>
      <c r="H9" s="141">
        <f t="shared" si="1"/>
        <v>7.6349007899143423E-3</v>
      </c>
      <c r="I9" s="141">
        <f t="shared" si="1"/>
        <v>39.0625</v>
      </c>
      <c r="J9" s="139">
        <f>IF(EINGABEN!C9="","",EINGABEN!C9)</f>
        <v>2.5</v>
      </c>
      <c r="K9" s="143">
        <f t="shared" si="2"/>
        <v>6.25</v>
      </c>
      <c r="L9" s="138">
        <f t="shared" si="5"/>
        <v>24.588190756906823</v>
      </c>
      <c r="M9" s="138">
        <f t="shared" si="6"/>
        <v>336.28924023670282</v>
      </c>
      <c r="N9" s="138"/>
      <c r="O9" s="138"/>
      <c r="P9" s="139"/>
      <c r="Q9" s="139"/>
      <c r="R9" s="139"/>
      <c r="S9" s="139"/>
      <c r="T9" s="139"/>
      <c r="U9" s="139"/>
      <c r="V9" s="139"/>
      <c r="W9" s="139"/>
      <c r="X9" s="139"/>
      <c r="Y9" s="139"/>
      <c r="Z9" s="139"/>
      <c r="AA9" s="139"/>
    </row>
    <row r="10" spans="1:27" x14ac:dyDescent="0.3">
      <c r="A10" s="141">
        <f>EINGABEN!A10</f>
        <v>4.5</v>
      </c>
      <c r="B10" s="141">
        <f>EINGABEN!D10</f>
        <v>20.25</v>
      </c>
      <c r="C10" s="141"/>
      <c r="D10" s="141">
        <f t="shared" si="3"/>
        <v>0.40819445920621489</v>
      </c>
      <c r="E10" s="141">
        <f t="shared" si="4"/>
        <v>20.25</v>
      </c>
      <c r="F10" s="143">
        <f>(C51+C53*D10)</f>
        <v>74.491135085245773</v>
      </c>
      <c r="G10" s="141">
        <f t="shared" si="0"/>
        <v>8.2659377989258509</v>
      </c>
      <c r="H10" s="141">
        <f t="shared" si="1"/>
        <v>0.16662271652665422</v>
      </c>
      <c r="I10" s="141">
        <f t="shared" si="1"/>
        <v>410.0625</v>
      </c>
      <c r="J10" s="139">
        <f>IF(EINGABEN!C10="","",EINGABEN!C10)</f>
        <v>4.5</v>
      </c>
      <c r="K10" s="143">
        <f t="shared" si="2"/>
        <v>20.25</v>
      </c>
      <c r="L10" s="138">
        <f t="shared" si="5"/>
        <v>74.489796223836109</v>
      </c>
      <c r="M10" s="138">
        <f t="shared" si="6"/>
        <v>2941.9554944032657</v>
      </c>
      <c r="N10" s="138"/>
      <c r="O10" s="138"/>
      <c r="P10" s="139"/>
      <c r="Q10" s="139"/>
      <c r="R10" s="139"/>
      <c r="S10" s="139"/>
      <c r="T10" s="139"/>
      <c r="U10" s="139"/>
      <c r="V10" s="139"/>
      <c r="W10" s="139"/>
      <c r="X10" s="139"/>
      <c r="Y10" s="139"/>
      <c r="Z10" s="139"/>
      <c r="AA10" s="139"/>
    </row>
    <row r="11" spans="1:27" x14ac:dyDescent="0.3">
      <c r="A11" s="141">
        <f>EINGABEN!A11</f>
        <v>10</v>
      </c>
      <c r="B11" s="141">
        <f>EINGABEN!D11</f>
        <v>100</v>
      </c>
      <c r="C11" s="141"/>
      <c r="D11" s="141">
        <f t="shared" si="3"/>
        <v>0.83403678816162974</v>
      </c>
      <c r="E11" s="141">
        <f t="shared" si="4"/>
        <v>100</v>
      </c>
      <c r="F11" s="143">
        <f>(C51+C53*D11)</f>
        <v>117.36903225757354</v>
      </c>
      <c r="G11" s="141">
        <f t="shared" si="0"/>
        <v>83.40367881616298</v>
      </c>
      <c r="H11" s="141">
        <f t="shared" si="1"/>
        <v>0.69561736400696728</v>
      </c>
      <c r="I11" s="141">
        <f t="shared" si="1"/>
        <v>10000</v>
      </c>
      <c r="J11" s="139">
        <f>IF(EINGABEN!C11="","",EINGABEN!C11)</f>
        <v>10</v>
      </c>
      <c r="K11" s="143">
        <f t="shared" si="2"/>
        <v>100</v>
      </c>
      <c r="L11" s="138">
        <f t="shared" si="5"/>
        <v>117.36863870020792</v>
      </c>
      <c r="M11" s="138">
        <f t="shared" si="6"/>
        <v>301.6696102983604</v>
      </c>
      <c r="N11" s="138"/>
      <c r="O11" s="138"/>
      <c r="P11" s="139"/>
      <c r="Q11" s="139"/>
      <c r="R11" s="139"/>
      <c r="S11" s="139"/>
      <c r="T11" s="139"/>
      <c r="U11" s="139"/>
      <c r="V11" s="139"/>
      <c r="W11" s="139"/>
      <c r="X11" s="139"/>
      <c r="Y11" s="139"/>
      <c r="Z11" s="139"/>
      <c r="AA11" s="139"/>
    </row>
    <row r="12" spans="1:27" x14ac:dyDescent="0.3">
      <c r="A12" s="141">
        <f>EINGABEN!A12</f>
        <v>12</v>
      </c>
      <c r="B12" s="141">
        <f>EINGABEN!D12</f>
        <v>144</v>
      </c>
      <c r="C12" s="141"/>
      <c r="D12" s="141">
        <f t="shared" si="3"/>
        <v>0.91023844692576605</v>
      </c>
      <c r="E12" s="141">
        <f t="shared" si="4"/>
        <v>144</v>
      </c>
      <c r="F12" s="143">
        <f>(C51+C53*D12)</f>
        <v>125.04174740748419</v>
      </c>
      <c r="G12" s="141">
        <f t="shared" si="0"/>
        <v>131.0743363573103</v>
      </c>
      <c r="H12" s="141">
        <f t="shared" si="1"/>
        <v>0.82853403026183059</v>
      </c>
      <c r="I12" s="141">
        <f t="shared" si="1"/>
        <v>20736</v>
      </c>
      <c r="J12" s="139">
        <f>IF(EINGABEN!C12="","",EINGABEN!C12)</f>
        <v>12</v>
      </c>
      <c r="K12" s="143">
        <f t="shared" si="2"/>
        <v>144</v>
      </c>
      <c r="L12" s="138">
        <f t="shared" si="5"/>
        <v>125.04144350584428</v>
      </c>
      <c r="M12" s="138">
        <f t="shared" si="6"/>
        <v>359.42686434209384</v>
      </c>
      <c r="N12" s="138"/>
      <c r="O12" s="138"/>
      <c r="P12" s="139"/>
      <c r="Q12" s="139"/>
      <c r="R12" s="139"/>
      <c r="S12" s="139"/>
      <c r="T12" s="139"/>
      <c r="U12" s="139"/>
      <c r="V12" s="139"/>
      <c r="W12" s="139"/>
      <c r="X12" s="139"/>
      <c r="Y12" s="139"/>
      <c r="Z12" s="139"/>
      <c r="AA12" s="139"/>
    </row>
    <row r="13" spans="1:27" x14ac:dyDescent="0.3">
      <c r="A13" s="141">
        <f>EINGABEN!A13</f>
        <v>15</v>
      </c>
      <c r="B13" s="141">
        <f>EINGABEN!D13</f>
        <v>225</v>
      </c>
      <c r="C13" s="141"/>
      <c r="D13" s="141">
        <f t="shared" si="3"/>
        <v>0.99623135473597912</v>
      </c>
      <c r="E13" s="141">
        <f t="shared" si="4"/>
        <v>225</v>
      </c>
      <c r="F13" s="143">
        <f>(C51+C53*D13)</f>
        <v>133.7003395856747</v>
      </c>
      <c r="G13" s="141">
        <f t="shared" si="0"/>
        <v>224.15205481559531</v>
      </c>
      <c r="H13" s="141">
        <f t="shared" si="1"/>
        <v>0.99247691215908429</v>
      </c>
      <c r="I13" s="141">
        <f t="shared" si="1"/>
        <v>50625</v>
      </c>
      <c r="J13" s="139">
        <f>IF(EINGABEN!C13="","",EINGABEN!C13)</f>
        <v>15</v>
      </c>
      <c r="K13" s="143">
        <f t="shared" si="2"/>
        <v>225</v>
      </c>
      <c r="L13" s="138">
        <f t="shared" si="5"/>
        <v>133.70011649726422</v>
      </c>
      <c r="M13" s="138">
        <f t="shared" si="6"/>
        <v>8335.6687276131252</v>
      </c>
      <c r="N13" s="138"/>
      <c r="O13" s="138"/>
      <c r="P13" s="139"/>
      <c r="Q13" s="139"/>
      <c r="R13" s="139"/>
      <c r="S13" s="139"/>
      <c r="T13" s="139"/>
      <c r="U13" s="139"/>
      <c r="V13" s="139"/>
      <c r="W13" s="139"/>
      <c r="X13" s="139"/>
      <c r="Y13" s="139"/>
      <c r="Z13" s="139"/>
      <c r="AA13" s="139"/>
    </row>
    <row r="14" spans="1:27" x14ac:dyDescent="0.3">
      <c r="A14" s="141">
        <f>EINGABEN!A14</f>
        <v>1.5</v>
      </c>
      <c r="B14" s="141">
        <f>EINGABEN!D14</f>
        <v>2.25</v>
      </c>
      <c r="C14" s="141"/>
      <c r="D14" s="141">
        <f t="shared" si="3"/>
        <v>-0.90255605448210952</v>
      </c>
      <c r="E14" s="141">
        <f t="shared" si="4"/>
        <v>2.25</v>
      </c>
      <c r="F14" s="143">
        <f>(C51+C53*D14)</f>
        <v>-57.487820323830256</v>
      </c>
      <c r="G14" s="141">
        <f t="shared" si="0"/>
        <v>-2.0307511225847463</v>
      </c>
      <c r="H14" s="141">
        <f t="shared" si="1"/>
        <v>0.81460743148231263</v>
      </c>
      <c r="I14" s="141">
        <f t="shared" si="1"/>
        <v>5.0625</v>
      </c>
      <c r="J14" s="139">
        <f>IF(EINGABEN!C14="","",EINGABEN!C14)</f>
        <v>1.5</v>
      </c>
      <c r="K14" s="143">
        <f t="shared" si="2"/>
        <v>2.25</v>
      </c>
      <c r="L14" s="138">
        <f t="shared" si="5"/>
        <v>-57.502718298084211</v>
      </c>
      <c r="M14" s="138">
        <f t="shared" si="6"/>
        <v>3570.3873440102079</v>
      </c>
      <c r="N14" s="138"/>
      <c r="O14" s="138"/>
      <c r="P14" s="139"/>
      <c r="Q14" s="139"/>
      <c r="R14" s="139"/>
      <c r="S14" s="139"/>
      <c r="T14" s="139"/>
      <c r="U14" s="139"/>
      <c r="V14" s="139"/>
      <c r="W14" s="139"/>
      <c r="X14" s="139"/>
      <c r="Y14" s="139"/>
      <c r="Z14" s="139"/>
      <c r="AA14" s="139"/>
    </row>
    <row r="15" spans="1:27" ht="15" thickBot="1" x14ac:dyDescent="0.35">
      <c r="A15" s="145">
        <f>EINGABEN!A15</f>
        <v>14</v>
      </c>
      <c r="B15" s="145">
        <f>EINGABEN!D15</f>
        <v>196</v>
      </c>
      <c r="C15" s="145"/>
      <c r="D15" s="145">
        <f t="shared" si="3"/>
        <v>0.97042448785819069</v>
      </c>
      <c r="E15" s="145">
        <f t="shared" si="4"/>
        <v>196</v>
      </c>
      <c r="F15" s="146">
        <f>(C51+C53*D15)</f>
        <v>131.10185627604199</v>
      </c>
      <c r="G15" s="141">
        <f t="shared" si="0"/>
        <v>190.20319962020537</v>
      </c>
      <c r="H15" s="141">
        <f t="shared" si="1"/>
        <v>0.94172368663483164</v>
      </c>
      <c r="I15" s="141">
        <f t="shared" si="1"/>
        <v>38416</v>
      </c>
      <c r="J15" s="139">
        <f>IF(EINGABEN!C15="","",EINGABEN!C15)</f>
        <v>14</v>
      </c>
      <c r="K15" s="143">
        <f t="shared" si="2"/>
        <v>196</v>
      </c>
      <c r="L15" s="138">
        <f t="shared" si="5"/>
        <v>131.10161100405665</v>
      </c>
      <c r="M15" s="138">
        <f t="shared" si="6"/>
        <v>4211.8008942687811</v>
      </c>
      <c r="N15" s="138"/>
      <c r="O15" s="138"/>
      <c r="P15" s="139"/>
      <c r="Q15" s="139"/>
      <c r="R15" s="139"/>
      <c r="S15" s="139"/>
      <c r="T15" s="139"/>
      <c r="U15" s="139"/>
      <c r="V15" s="139"/>
      <c r="W15" s="139"/>
      <c r="X15" s="139"/>
      <c r="Y15" s="139"/>
      <c r="Z15" s="139"/>
      <c r="AA15" s="139"/>
    </row>
    <row r="16" spans="1:27" ht="15" thickTop="1" x14ac:dyDescent="0.3">
      <c r="A16" s="147">
        <f>EINGABEN!A16</f>
        <v>2.7182818284590451</v>
      </c>
      <c r="B16" s="148">
        <f>EINGABEN!D16</f>
        <v>0</v>
      </c>
      <c r="C16" s="148"/>
      <c r="D16" s="148">
        <f t="shared" si="3"/>
        <v>3.6786590822442982E-5</v>
      </c>
      <c r="E16" s="148">
        <f t="shared" si="4"/>
        <v>0</v>
      </c>
      <c r="F16" s="149">
        <f>(C51+C53*D16)</f>
        <v>33.393899027409567</v>
      </c>
      <c r="G16" s="141">
        <f t="shared" si="0"/>
        <v>0</v>
      </c>
      <c r="H16" s="141">
        <f t="shared" si="1"/>
        <v>1.3532532643378463E-9</v>
      </c>
      <c r="I16" s="141">
        <f t="shared" si="1"/>
        <v>0</v>
      </c>
      <c r="J16" s="139" t="str">
        <f>IF(EINGABEN!C16="","",EINGABEN!C16)</f>
        <v/>
      </c>
      <c r="K16" s="143" t="str">
        <f t="shared" si="2"/>
        <v/>
      </c>
      <c r="L16" s="138" t="str">
        <f t="shared" si="5"/>
        <v/>
      </c>
      <c r="M16" s="138" t="str">
        <f t="shared" si="6"/>
        <v/>
      </c>
      <c r="N16" s="138"/>
      <c r="O16" s="138"/>
      <c r="P16" s="139"/>
      <c r="Q16" s="139"/>
      <c r="R16" s="139"/>
    </row>
    <row r="17" spans="1:18" x14ac:dyDescent="0.3">
      <c r="A17" s="150">
        <f>EINGABEN!A17</f>
        <v>2.7182818284590451</v>
      </c>
      <c r="B17" s="106">
        <f>EINGABEN!D17</f>
        <v>0</v>
      </c>
      <c r="C17" s="106"/>
      <c r="D17" s="106">
        <f t="shared" si="3"/>
        <v>3.6786590822442982E-5</v>
      </c>
      <c r="E17" s="106">
        <f t="shared" si="4"/>
        <v>0</v>
      </c>
      <c r="F17" s="151">
        <f>(C51+C53*D17)</f>
        <v>33.393899027409567</v>
      </c>
      <c r="G17" s="141">
        <f t="shared" si="0"/>
        <v>0</v>
      </c>
      <c r="H17" s="141">
        <f t="shared" si="1"/>
        <v>1.3532532643378463E-9</v>
      </c>
      <c r="I17" s="141">
        <f t="shared" si="1"/>
        <v>0</v>
      </c>
      <c r="J17" s="139" t="str">
        <f>IF(EINGABEN!C17="","",EINGABEN!C17)</f>
        <v/>
      </c>
      <c r="K17" s="143" t="str">
        <f t="shared" si="2"/>
        <v/>
      </c>
      <c r="L17" s="138" t="str">
        <f t="shared" si="5"/>
        <v/>
      </c>
      <c r="M17" s="138" t="str">
        <f t="shared" si="6"/>
        <v/>
      </c>
      <c r="N17" s="138"/>
      <c r="O17" s="138"/>
      <c r="P17" s="139"/>
      <c r="Q17" s="139"/>
      <c r="R17" s="139"/>
    </row>
    <row r="18" spans="1:18" x14ac:dyDescent="0.3">
      <c r="A18" s="150">
        <f>EINGABEN!A18</f>
        <v>2.7182818284590451</v>
      </c>
      <c r="B18" s="106">
        <f>EINGABEN!D18</f>
        <v>0</v>
      </c>
      <c r="C18" s="106"/>
      <c r="D18" s="106">
        <f t="shared" si="3"/>
        <v>3.6786590822442982E-5</v>
      </c>
      <c r="E18" s="106">
        <f t="shared" si="4"/>
        <v>0</v>
      </c>
      <c r="F18" s="151">
        <f>(C51+C53*D18)</f>
        <v>33.393899027409567</v>
      </c>
      <c r="G18" s="141">
        <f t="shared" si="0"/>
        <v>0</v>
      </c>
      <c r="H18" s="141">
        <f t="shared" si="1"/>
        <v>1.3532532643378463E-9</v>
      </c>
      <c r="I18" s="141">
        <f t="shared" si="1"/>
        <v>0</v>
      </c>
      <c r="J18" s="139" t="str">
        <f>IF(EINGABEN!C18="","",EINGABEN!C18)</f>
        <v/>
      </c>
      <c r="K18" s="143" t="str">
        <f t="shared" si="2"/>
        <v/>
      </c>
      <c r="L18" s="144" t="str">
        <f t="shared" si="5"/>
        <v/>
      </c>
      <c r="M18" s="138" t="str">
        <f t="shared" si="6"/>
        <v/>
      </c>
      <c r="N18" s="138"/>
      <c r="O18" s="138"/>
      <c r="P18" s="139"/>
      <c r="Q18" s="139"/>
      <c r="R18" s="139"/>
    </row>
    <row r="19" spans="1:18" x14ac:dyDescent="0.3">
      <c r="A19" s="150">
        <f>EINGABEN!A19</f>
        <v>2.7182818284590451</v>
      </c>
      <c r="B19" s="106">
        <f>EINGABEN!D19</f>
        <v>0</v>
      </c>
      <c r="C19" s="106"/>
      <c r="D19" s="106">
        <f t="shared" si="3"/>
        <v>3.6786590822442982E-5</v>
      </c>
      <c r="E19" s="106">
        <f t="shared" si="4"/>
        <v>0</v>
      </c>
      <c r="F19" s="151">
        <f>(C51+C53*D19)</f>
        <v>33.393899027409567</v>
      </c>
      <c r="G19" s="141">
        <f t="shared" si="0"/>
        <v>0</v>
      </c>
      <c r="H19" s="141">
        <f t="shared" si="1"/>
        <v>1.3532532643378463E-9</v>
      </c>
      <c r="I19" s="141">
        <f t="shared" si="1"/>
        <v>0</v>
      </c>
      <c r="J19" s="139" t="str">
        <f>IF(EINGABEN!C19="","",EINGABEN!C19)</f>
        <v/>
      </c>
      <c r="K19" s="143" t="str">
        <f t="shared" si="2"/>
        <v/>
      </c>
      <c r="L19" s="138" t="str">
        <f t="shared" si="5"/>
        <v/>
      </c>
      <c r="M19" s="144" t="str">
        <f t="shared" si="6"/>
        <v/>
      </c>
      <c r="N19" s="138"/>
      <c r="O19" s="138"/>
      <c r="P19" s="139"/>
      <c r="Q19" s="139"/>
      <c r="R19" s="139"/>
    </row>
    <row r="20" spans="1:18" x14ac:dyDescent="0.3">
      <c r="A20" s="150">
        <f>EINGABEN!A20</f>
        <v>2.7182818284590451</v>
      </c>
      <c r="B20" s="106">
        <f>EINGABEN!D20</f>
        <v>0</v>
      </c>
      <c r="C20" s="106"/>
      <c r="D20" s="106">
        <f t="shared" si="3"/>
        <v>3.6786590822442982E-5</v>
      </c>
      <c r="E20" s="106">
        <f t="shared" si="4"/>
        <v>0</v>
      </c>
      <c r="F20" s="151">
        <f>(C51+C53*D20)</f>
        <v>33.393899027409567</v>
      </c>
      <c r="G20" s="141">
        <f t="shared" si="0"/>
        <v>0</v>
      </c>
      <c r="H20" s="141">
        <f t="shared" si="1"/>
        <v>1.3532532643378463E-9</v>
      </c>
      <c r="I20" s="141">
        <f t="shared" si="1"/>
        <v>0</v>
      </c>
      <c r="J20" s="139" t="str">
        <f>IF(EINGABEN!C20="","",EINGABEN!C20)</f>
        <v/>
      </c>
      <c r="K20" s="143" t="str">
        <f t="shared" si="2"/>
        <v/>
      </c>
      <c r="L20" s="138" t="str">
        <f t="shared" si="5"/>
        <v/>
      </c>
      <c r="M20" s="138" t="str">
        <f t="shared" si="6"/>
        <v/>
      </c>
      <c r="N20" s="138"/>
      <c r="O20" s="138"/>
      <c r="P20" s="139"/>
      <c r="Q20" s="139"/>
      <c r="R20" s="139"/>
    </row>
    <row r="21" spans="1:18" x14ac:dyDescent="0.3">
      <c r="A21" s="150">
        <f>EINGABEN!A21</f>
        <v>2.7182818284590451</v>
      </c>
      <c r="B21" s="106">
        <f>EINGABEN!D21</f>
        <v>0</v>
      </c>
      <c r="C21" s="106"/>
      <c r="D21" s="106">
        <f t="shared" si="3"/>
        <v>3.6786590822442982E-5</v>
      </c>
      <c r="E21" s="106">
        <f t="shared" si="4"/>
        <v>0</v>
      </c>
      <c r="F21" s="151">
        <f>(C51+C53*D21)</f>
        <v>33.393899027409567</v>
      </c>
      <c r="G21" s="141">
        <f t="shared" si="0"/>
        <v>0</v>
      </c>
      <c r="H21" s="141">
        <f t="shared" si="1"/>
        <v>1.3532532643378463E-9</v>
      </c>
      <c r="I21" s="141">
        <f t="shared" si="1"/>
        <v>0</v>
      </c>
      <c r="J21" s="139" t="str">
        <f>IF(EINGABEN!C21="","",EINGABEN!C21)</f>
        <v/>
      </c>
      <c r="K21" s="143" t="str">
        <f t="shared" si="2"/>
        <v/>
      </c>
      <c r="L21" s="138" t="str">
        <f t="shared" si="5"/>
        <v/>
      </c>
      <c r="M21" s="138" t="str">
        <f t="shared" si="6"/>
        <v/>
      </c>
      <c r="N21" s="138"/>
      <c r="O21" s="138"/>
      <c r="P21" s="139"/>
      <c r="Q21" s="139"/>
      <c r="R21" s="139"/>
    </row>
    <row r="22" spans="1:18" x14ac:dyDescent="0.3">
      <c r="A22" s="150">
        <f>EINGABEN!A22</f>
        <v>2.7182818284590451</v>
      </c>
      <c r="B22" s="106">
        <f>EINGABEN!D22</f>
        <v>0</v>
      </c>
      <c r="C22" s="106"/>
      <c r="D22" s="106">
        <f t="shared" si="3"/>
        <v>3.6786590822442982E-5</v>
      </c>
      <c r="E22" s="106">
        <f t="shared" si="4"/>
        <v>0</v>
      </c>
      <c r="F22" s="151">
        <f>(C51+C53*D22)</f>
        <v>33.393899027409567</v>
      </c>
      <c r="G22" s="141">
        <f t="shared" si="0"/>
        <v>0</v>
      </c>
      <c r="H22" s="141">
        <f t="shared" si="1"/>
        <v>1.3532532643378463E-9</v>
      </c>
      <c r="I22" s="141">
        <f t="shared" si="1"/>
        <v>0</v>
      </c>
      <c r="J22" s="139" t="str">
        <f>IF(EINGABEN!C22="","",EINGABEN!C22)</f>
        <v/>
      </c>
      <c r="K22" s="143" t="str">
        <f t="shared" si="2"/>
        <v/>
      </c>
      <c r="L22" s="138" t="str">
        <f t="shared" si="5"/>
        <v/>
      </c>
      <c r="M22" s="138" t="str">
        <f t="shared" si="6"/>
        <v/>
      </c>
      <c r="N22" s="138"/>
      <c r="O22" s="138"/>
      <c r="P22" s="139"/>
      <c r="Q22" s="139"/>
      <c r="R22" s="139"/>
    </row>
    <row r="23" spans="1:18" x14ac:dyDescent="0.3">
      <c r="A23" s="150">
        <f>EINGABEN!A23</f>
        <v>2.7182818284590451</v>
      </c>
      <c r="B23" s="106">
        <f>EINGABEN!D23</f>
        <v>0</v>
      </c>
      <c r="C23" s="106"/>
      <c r="D23" s="106">
        <f t="shared" si="3"/>
        <v>3.6786590822442982E-5</v>
      </c>
      <c r="E23" s="106">
        <f t="shared" si="4"/>
        <v>0</v>
      </c>
      <c r="F23" s="151">
        <f>(C51+C53*D23)</f>
        <v>33.393899027409567</v>
      </c>
      <c r="G23" s="141">
        <f t="shared" si="0"/>
        <v>0</v>
      </c>
      <c r="H23" s="141">
        <f t="shared" si="1"/>
        <v>1.3532532643378463E-9</v>
      </c>
      <c r="I23" s="141">
        <f t="shared" si="1"/>
        <v>0</v>
      </c>
      <c r="J23" s="139" t="str">
        <f>IF(EINGABEN!C23="","",EINGABEN!C23)</f>
        <v/>
      </c>
      <c r="K23" s="143" t="str">
        <f t="shared" si="2"/>
        <v/>
      </c>
      <c r="L23" s="138" t="str">
        <f t="shared" si="5"/>
        <v/>
      </c>
      <c r="M23" s="138" t="str">
        <f t="shared" si="6"/>
        <v/>
      </c>
      <c r="N23" s="138"/>
      <c r="O23" s="138"/>
      <c r="P23" s="139"/>
      <c r="Q23" s="139"/>
      <c r="R23" s="139"/>
    </row>
    <row r="24" spans="1:18" x14ac:dyDescent="0.3">
      <c r="A24" s="150">
        <f>EINGABEN!A24</f>
        <v>2.7182818284590451</v>
      </c>
      <c r="B24" s="106">
        <f>EINGABEN!D24</f>
        <v>0</v>
      </c>
      <c r="C24" s="106"/>
      <c r="D24" s="106">
        <f t="shared" si="3"/>
        <v>3.6786590822442982E-5</v>
      </c>
      <c r="E24" s="106">
        <f t="shared" si="4"/>
        <v>0</v>
      </c>
      <c r="F24" s="151">
        <f>(C51+C53*D24)</f>
        <v>33.393899027409567</v>
      </c>
      <c r="G24" s="141">
        <f t="shared" si="0"/>
        <v>0</v>
      </c>
      <c r="H24" s="141">
        <f t="shared" si="1"/>
        <v>1.3532532643378463E-9</v>
      </c>
      <c r="I24" s="141">
        <f t="shared" si="1"/>
        <v>0</v>
      </c>
      <c r="J24" s="139" t="str">
        <f>IF(EINGABEN!C24="","",EINGABEN!C24)</f>
        <v/>
      </c>
      <c r="K24" s="143" t="str">
        <f t="shared" si="2"/>
        <v/>
      </c>
      <c r="L24" s="138" t="str">
        <f t="shared" si="5"/>
        <v/>
      </c>
      <c r="M24" s="138" t="str">
        <f t="shared" si="6"/>
        <v/>
      </c>
      <c r="N24" s="138"/>
      <c r="O24" s="138"/>
      <c r="P24" s="139"/>
      <c r="Q24" s="139"/>
      <c r="R24" s="139"/>
    </row>
    <row r="25" spans="1:18" x14ac:dyDescent="0.3">
      <c r="A25" s="150">
        <f>EINGABEN!A25</f>
        <v>2.7182818284590451</v>
      </c>
      <c r="B25" s="106">
        <f>EINGABEN!D25</f>
        <v>0</v>
      </c>
      <c r="C25" s="106"/>
      <c r="D25" s="106">
        <f t="shared" si="3"/>
        <v>3.6786590822442982E-5</v>
      </c>
      <c r="E25" s="106">
        <f t="shared" si="4"/>
        <v>0</v>
      </c>
      <c r="F25" s="151">
        <f>(C51+C53*D25)</f>
        <v>33.393899027409567</v>
      </c>
      <c r="G25" s="141">
        <f t="shared" si="0"/>
        <v>0</v>
      </c>
      <c r="H25" s="141">
        <f t="shared" si="1"/>
        <v>1.3532532643378463E-9</v>
      </c>
      <c r="I25" s="141">
        <f t="shared" si="1"/>
        <v>0</v>
      </c>
      <c r="J25" s="139" t="str">
        <f>IF(EINGABEN!C25="","",EINGABEN!C25)</f>
        <v/>
      </c>
      <c r="K25" s="143" t="str">
        <f t="shared" si="2"/>
        <v/>
      </c>
      <c r="L25" s="138" t="str">
        <f t="shared" si="5"/>
        <v/>
      </c>
      <c r="M25" s="138" t="str">
        <f t="shared" si="6"/>
        <v/>
      </c>
      <c r="N25" s="138"/>
      <c r="O25" s="138"/>
      <c r="P25" s="139"/>
      <c r="Q25" s="139"/>
      <c r="R25" s="139"/>
    </row>
    <row r="26" spans="1:18" x14ac:dyDescent="0.3">
      <c r="A26" s="150">
        <f>EINGABEN!A26</f>
        <v>2.7182818284590451</v>
      </c>
      <c r="B26" s="106">
        <f>EINGABEN!D26</f>
        <v>0</v>
      </c>
      <c r="C26" s="106"/>
      <c r="D26" s="106">
        <f t="shared" si="3"/>
        <v>3.6786590822442982E-5</v>
      </c>
      <c r="E26" s="106">
        <f t="shared" si="4"/>
        <v>0</v>
      </c>
      <c r="F26" s="151">
        <f>(C51+C53*D26)</f>
        <v>33.393899027409567</v>
      </c>
      <c r="G26" s="141">
        <f t="shared" si="0"/>
        <v>0</v>
      </c>
      <c r="H26" s="141">
        <f t="shared" si="1"/>
        <v>1.3532532643378463E-9</v>
      </c>
      <c r="I26" s="141">
        <f t="shared" si="1"/>
        <v>0</v>
      </c>
      <c r="J26" s="139" t="str">
        <f>IF(EINGABEN!C26="","",EINGABEN!C26)</f>
        <v/>
      </c>
      <c r="K26" s="143" t="str">
        <f t="shared" si="2"/>
        <v/>
      </c>
      <c r="L26" s="138" t="str">
        <f t="shared" si="5"/>
        <v/>
      </c>
      <c r="M26" s="138" t="str">
        <f t="shared" si="6"/>
        <v/>
      </c>
      <c r="N26" s="138"/>
      <c r="O26" s="138"/>
      <c r="P26" s="139"/>
      <c r="Q26" s="139"/>
      <c r="R26" s="139"/>
    </row>
    <row r="27" spans="1:18" x14ac:dyDescent="0.3">
      <c r="A27" s="150">
        <f>EINGABEN!A27</f>
        <v>2.7182818284590451</v>
      </c>
      <c r="B27" s="106">
        <f>EINGABEN!D27</f>
        <v>0</v>
      </c>
      <c r="C27" s="106"/>
      <c r="D27" s="106">
        <f t="shared" si="3"/>
        <v>3.6786590822442982E-5</v>
      </c>
      <c r="E27" s="106">
        <f t="shared" si="4"/>
        <v>0</v>
      </c>
      <c r="F27" s="151">
        <f>(C51+C53*D27)</f>
        <v>33.393899027409567</v>
      </c>
      <c r="G27" s="141">
        <f t="shared" si="0"/>
        <v>0</v>
      </c>
      <c r="H27" s="141">
        <f t="shared" si="1"/>
        <v>1.3532532643378463E-9</v>
      </c>
      <c r="I27" s="141">
        <f t="shared" si="1"/>
        <v>0</v>
      </c>
      <c r="J27" s="139" t="str">
        <f>IF(EINGABEN!C27="","",EINGABEN!C27)</f>
        <v/>
      </c>
      <c r="K27" s="143" t="str">
        <f t="shared" si="2"/>
        <v/>
      </c>
      <c r="L27" s="138" t="str">
        <f t="shared" si="5"/>
        <v/>
      </c>
      <c r="M27" s="138" t="str">
        <f t="shared" si="6"/>
        <v/>
      </c>
      <c r="N27" s="138"/>
      <c r="O27" s="138"/>
      <c r="P27" s="139"/>
      <c r="Q27" s="139"/>
      <c r="R27" s="139"/>
    </row>
    <row r="28" spans="1:18" x14ac:dyDescent="0.3">
      <c r="A28" s="150">
        <f>EINGABEN!A28</f>
        <v>2.7182818284590451</v>
      </c>
      <c r="B28" s="106">
        <f>EINGABEN!D28</f>
        <v>0</v>
      </c>
      <c r="C28" s="106"/>
      <c r="D28" s="106">
        <f t="shared" si="3"/>
        <v>3.6786590822442982E-5</v>
      </c>
      <c r="E28" s="106">
        <f t="shared" si="4"/>
        <v>0</v>
      </c>
      <c r="F28" s="151">
        <f>(C51+C53*D28)</f>
        <v>33.393899027409567</v>
      </c>
      <c r="G28" s="141">
        <f t="shared" si="0"/>
        <v>0</v>
      </c>
      <c r="H28" s="141">
        <f t="shared" si="1"/>
        <v>1.3532532643378463E-9</v>
      </c>
      <c r="I28" s="141">
        <f t="shared" si="1"/>
        <v>0</v>
      </c>
      <c r="J28" s="139" t="str">
        <f>IF(EINGABEN!C28="","",EINGABEN!C28)</f>
        <v/>
      </c>
      <c r="K28" s="152" t="str">
        <f t="shared" si="2"/>
        <v/>
      </c>
      <c r="L28" s="139" t="str">
        <f t="shared" si="5"/>
        <v/>
      </c>
      <c r="M28" s="139" t="str">
        <f t="shared" si="6"/>
        <v/>
      </c>
      <c r="N28" s="139"/>
      <c r="O28" s="138"/>
      <c r="P28" s="139"/>
      <c r="Q28" s="139"/>
      <c r="R28" s="139"/>
    </row>
    <row r="29" spans="1:18" x14ac:dyDescent="0.3">
      <c r="A29" s="150">
        <f>EINGABEN!A29</f>
        <v>2.7182818284590451</v>
      </c>
      <c r="B29" s="106">
        <f>EINGABEN!D29</f>
        <v>0</v>
      </c>
      <c r="C29" s="106"/>
      <c r="D29" s="106">
        <f t="shared" si="3"/>
        <v>3.6786590822442982E-5</v>
      </c>
      <c r="E29" s="106">
        <f t="shared" si="4"/>
        <v>0</v>
      </c>
      <c r="F29" s="151">
        <f>(C51+C53*D29)</f>
        <v>33.393899027409567</v>
      </c>
      <c r="G29" s="141">
        <f t="shared" si="0"/>
        <v>0</v>
      </c>
      <c r="H29" s="141">
        <f t="shared" si="1"/>
        <v>1.3532532643378463E-9</v>
      </c>
      <c r="I29" s="141">
        <f t="shared" si="1"/>
        <v>0</v>
      </c>
      <c r="J29" s="139" t="str">
        <f>IF(EINGABEN!C29="","",EINGABEN!C29)</f>
        <v/>
      </c>
      <c r="K29" s="152" t="str">
        <f t="shared" si="2"/>
        <v/>
      </c>
      <c r="L29" s="139" t="str">
        <f t="shared" si="5"/>
        <v/>
      </c>
      <c r="M29" s="139" t="str">
        <f t="shared" si="6"/>
        <v/>
      </c>
      <c r="N29" s="139"/>
      <c r="O29" s="138"/>
      <c r="P29" s="139"/>
      <c r="Q29" s="139"/>
      <c r="R29" s="139"/>
    </row>
    <row r="30" spans="1:18" x14ac:dyDescent="0.3">
      <c r="A30" s="150">
        <f>EINGABEN!A30</f>
        <v>2.7182818284590451</v>
      </c>
      <c r="B30" s="106">
        <f>EINGABEN!D30</f>
        <v>0</v>
      </c>
      <c r="C30" s="106"/>
      <c r="D30" s="106">
        <f t="shared" si="3"/>
        <v>3.6786590822442982E-5</v>
      </c>
      <c r="E30" s="106">
        <f t="shared" si="4"/>
        <v>0</v>
      </c>
      <c r="F30" s="151">
        <f>(C51+C53*D30)</f>
        <v>33.393899027409567</v>
      </c>
      <c r="G30" s="141">
        <f t="shared" si="0"/>
        <v>0</v>
      </c>
      <c r="H30" s="141">
        <f t="shared" si="1"/>
        <v>1.3532532643378463E-9</v>
      </c>
      <c r="I30" s="141">
        <f t="shared" si="1"/>
        <v>0</v>
      </c>
      <c r="J30" s="139" t="str">
        <f>IF(EINGABEN!C30="","",EINGABEN!C30)</f>
        <v/>
      </c>
      <c r="K30" s="152" t="str">
        <f t="shared" si="2"/>
        <v/>
      </c>
      <c r="L30" s="139" t="str">
        <f t="shared" si="5"/>
        <v/>
      </c>
      <c r="M30" s="139" t="str">
        <f t="shared" si="6"/>
        <v/>
      </c>
      <c r="N30" s="139"/>
      <c r="O30" s="138"/>
      <c r="P30" s="139"/>
      <c r="Q30" s="139"/>
      <c r="R30" s="139"/>
    </row>
    <row r="31" spans="1:18" x14ac:dyDescent="0.3">
      <c r="A31" s="150">
        <f>EINGABEN!A31</f>
        <v>2.7182818284590451</v>
      </c>
      <c r="B31" s="106">
        <f>EINGABEN!D31</f>
        <v>0</v>
      </c>
      <c r="C31" s="106"/>
      <c r="D31" s="106">
        <f t="shared" si="3"/>
        <v>3.6786590822442982E-5</v>
      </c>
      <c r="E31" s="106">
        <f t="shared" si="4"/>
        <v>0</v>
      </c>
      <c r="F31" s="151">
        <f>(C51+C53*D31)</f>
        <v>33.393899027409567</v>
      </c>
      <c r="G31" s="141">
        <f t="shared" si="0"/>
        <v>0</v>
      </c>
      <c r="H31" s="141">
        <f t="shared" si="1"/>
        <v>1.3532532643378463E-9</v>
      </c>
      <c r="I31" s="141">
        <f t="shared" si="1"/>
        <v>0</v>
      </c>
      <c r="J31" s="139" t="str">
        <f>IF(EINGABEN!C31="","",EINGABEN!C31)</f>
        <v/>
      </c>
      <c r="K31" s="152" t="str">
        <f t="shared" si="2"/>
        <v/>
      </c>
      <c r="L31" s="139" t="str">
        <f t="shared" si="5"/>
        <v/>
      </c>
      <c r="M31" s="139" t="str">
        <f t="shared" si="6"/>
        <v/>
      </c>
      <c r="N31" s="139"/>
      <c r="O31" s="138"/>
      <c r="P31" s="139"/>
      <c r="Q31" s="139"/>
      <c r="R31" s="139"/>
    </row>
    <row r="32" spans="1:18" x14ac:dyDescent="0.3">
      <c r="A32" s="150">
        <f>EINGABEN!A32</f>
        <v>2.7182818284590451</v>
      </c>
      <c r="B32" s="106">
        <f>EINGABEN!D32</f>
        <v>0</v>
      </c>
      <c r="C32" s="106"/>
      <c r="D32" s="106">
        <f t="shared" si="3"/>
        <v>3.6786590822442982E-5</v>
      </c>
      <c r="E32" s="106">
        <f t="shared" si="4"/>
        <v>0</v>
      </c>
      <c r="F32" s="151">
        <f>(C51+C53*D32)</f>
        <v>33.393899027409567</v>
      </c>
      <c r="G32" s="141">
        <f t="shared" si="0"/>
        <v>0</v>
      </c>
      <c r="H32" s="141">
        <f t="shared" si="1"/>
        <v>1.3532532643378463E-9</v>
      </c>
      <c r="I32" s="141">
        <f t="shared" si="1"/>
        <v>0</v>
      </c>
      <c r="J32" s="139" t="str">
        <f>IF(EINGABEN!C32="","",EINGABEN!C32)</f>
        <v/>
      </c>
      <c r="K32" s="152" t="str">
        <f t="shared" si="2"/>
        <v/>
      </c>
      <c r="L32" s="139" t="str">
        <f t="shared" si="5"/>
        <v/>
      </c>
      <c r="M32" s="139" t="str">
        <f t="shared" si="6"/>
        <v/>
      </c>
      <c r="N32" s="139"/>
      <c r="O32" s="138"/>
      <c r="P32" s="139"/>
      <c r="Q32" s="139"/>
      <c r="R32" s="139"/>
    </row>
    <row r="33" spans="1:18" x14ac:dyDescent="0.3">
      <c r="A33" s="150">
        <f>EINGABEN!A33</f>
        <v>2.7182818284590451</v>
      </c>
      <c r="B33" s="106">
        <f>EINGABEN!D33</f>
        <v>0</v>
      </c>
      <c r="C33" s="106"/>
      <c r="D33" s="106">
        <f t="shared" si="3"/>
        <v>3.6786590822442982E-5</v>
      </c>
      <c r="E33" s="106">
        <f t="shared" si="4"/>
        <v>0</v>
      </c>
      <c r="F33" s="151">
        <f>(C51+C53*D33)</f>
        <v>33.393899027409567</v>
      </c>
      <c r="G33" s="141">
        <f t="shared" si="0"/>
        <v>0</v>
      </c>
      <c r="H33" s="141">
        <f t="shared" si="1"/>
        <v>1.3532532643378463E-9</v>
      </c>
      <c r="I33" s="141">
        <f t="shared" si="1"/>
        <v>0</v>
      </c>
      <c r="J33" s="139" t="str">
        <f>IF(EINGABEN!C33="","",EINGABEN!C33)</f>
        <v/>
      </c>
      <c r="K33" s="152" t="str">
        <f t="shared" si="2"/>
        <v/>
      </c>
      <c r="L33" s="139" t="str">
        <f t="shared" si="5"/>
        <v/>
      </c>
      <c r="M33" s="139" t="str">
        <f t="shared" si="6"/>
        <v/>
      </c>
      <c r="N33" s="139"/>
      <c r="O33" s="138"/>
      <c r="P33" s="139"/>
      <c r="Q33" s="139"/>
      <c r="R33" s="139"/>
    </row>
    <row r="34" spans="1:18" x14ac:dyDescent="0.3">
      <c r="A34" s="150">
        <f>EINGABEN!A34</f>
        <v>2.7182818284590451</v>
      </c>
      <c r="B34" s="106">
        <f>EINGABEN!D34</f>
        <v>0</v>
      </c>
      <c r="C34" s="106"/>
      <c r="D34" s="106">
        <f t="shared" si="3"/>
        <v>3.6786590822442982E-5</v>
      </c>
      <c r="E34" s="106">
        <f t="shared" si="4"/>
        <v>0</v>
      </c>
      <c r="F34" s="151">
        <f>(C51+C53*D34)</f>
        <v>33.393899027409567</v>
      </c>
      <c r="G34" s="141">
        <f t="shared" si="0"/>
        <v>0</v>
      </c>
      <c r="H34" s="141">
        <f t="shared" si="1"/>
        <v>1.3532532643378463E-9</v>
      </c>
      <c r="I34" s="141">
        <f t="shared" si="1"/>
        <v>0</v>
      </c>
      <c r="J34" s="139" t="str">
        <f>IF(EINGABEN!C34="","",EINGABEN!C34)</f>
        <v/>
      </c>
      <c r="K34" s="152" t="str">
        <f t="shared" si="2"/>
        <v/>
      </c>
      <c r="L34" s="139" t="str">
        <f t="shared" si="5"/>
        <v/>
      </c>
      <c r="M34" s="139" t="str">
        <f t="shared" si="6"/>
        <v/>
      </c>
      <c r="N34" s="139"/>
      <c r="O34" s="138"/>
      <c r="P34" s="139"/>
      <c r="Q34" s="139"/>
      <c r="R34" s="139"/>
    </row>
    <row r="35" spans="1:18" x14ac:dyDescent="0.3">
      <c r="A35" s="150">
        <f>EINGABEN!A35</f>
        <v>2.7182818284590451</v>
      </c>
      <c r="B35" s="106">
        <f>EINGABEN!D35</f>
        <v>0</v>
      </c>
      <c r="C35" s="106"/>
      <c r="D35" s="106">
        <f t="shared" si="3"/>
        <v>3.6786590822442982E-5</v>
      </c>
      <c r="E35" s="106">
        <f t="shared" si="4"/>
        <v>0</v>
      </c>
      <c r="F35" s="151">
        <f>(C51+C53*D35)</f>
        <v>33.393899027409567</v>
      </c>
      <c r="G35" s="141">
        <f t="shared" si="0"/>
        <v>0</v>
      </c>
      <c r="H35" s="141">
        <f t="shared" si="1"/>
        <v>1.3532532643378463E-9</v>
      </c>
      <c r="I35" s="141">
        <f t="shared" si="1"/>
        <v>0</v>
      </c>
      <c r="J35" s="139" t="str">
        <f>IF(EINGABEN!C35="","",EINGABEN!C35)</f>
        <v/>
      </c>
      <c r="K35" s="152" t="str">
        <f t="shared" si="2"/>
        <v/>
      </c>
      <c r="L35" s="139" t="str">
        <f t="shared" si="5"/>
        <v/>
      </c>
      <c r="M35" s="139" t="str">
        <f t="shared" si="6"/>
        <v/>
      </c>
      <c r="N35" s="139"/>
      <c r="O35" s="138"/>
      <c r="P35" s="139"/>
      <c r="Q35" s="139"/>
      <c r="R35" s="139"/>
    </row>
    <row r="36" spans="1:18" x14ac:dyDescent="0.3">
      <c r="A36" s="150">
        <f>EINGABEN!A36</f>
        <v>2.7182818284590451</v>
      </c>
      <c r="B36" s="106">
        <f>EINGABEN!D36</f>
        <v>0</v>
      </c>
      <c r="C36" s="106"/>
      <c r="D36" s="106">
        <f t="shared" si="3"/>
        <v>3.6786590822442982E-5</v>
      </c>
      <c r="E36" s="106">
        <f t="shared" si="4"/>
        <v>0</v>
      </c>
      <c r="F36" s="151">
        <f>(C51+C53*D36)</f>
        <v>33.393899027409567</v>
      </c>
      <c r="G36" s="141">
        <f t="shared" si="0"/>
        <v>0</v>
      </c>
      <c r="H36" s="141">
        <f t="shared" si="1"/>
        <v>1.3532532643378463E-9</v>
      </c>
      <c r="I36" s="141">
        <f t="shared" si="1"/>
        <v>0</v>
      </c>
      <c r="J36" s="139" t="str">
        <f>IF(EINGABEN!C36="","",EINGABEN!C36)</f>
        <v/>
      </c>
      <c r="K36" s="152" t="str">
        <f t="shared" si="2"/>
        <v/>
      </c>
      <c r="L36" s="139" t="str">
        <f t="shared" si="5"/>
        <v/>
      </c>
      <c r="M36" s="139" t="str">
        <f t="shared" si="6"/>
        <v/>
      </c>
      <c r="N36" s="139"/>
      <c r="O36" s="138"/>
      <c r="P36" s="139"/>
      <c r="Q36" s="139"/>
      <c r="R36" s="139"/>
    </row>
    <row r="37" spans="1:18" x14ac:dyDescent="0.3">
      <c r="A37" s="150">
        <f>EINGABEN!A37</f>
        <v>2.7182818284590451</v>
      </c>
      <c r="B37" s="106">
        <f>EINGABEN!D37</f>
        <v>0</v>
      </c>
      <c r="C37" s="106"/>
      <c r="D37" s="106">
        <f t="shared" si="3"/>
        <v>3.6786590822442982E-5</v>
      </c>
      <c r="E37" s="106">
        <f t="shared" si="4"/>
        <v>0</v>
      </c>
      <c r="F37" s="151">
        <f>(C51+C53*D37)</f>
        <v>33.393899027409567</v>
      </c>
      <c r="G37" s="141">
        <f t="shared" si="0"/>
        <v>0</v>
      </c>
      <c r="H37" s="141">
        <f t="shared" si="1"/>
        <v>1.3532532643378463E-9</v>
      </c>
      <c r="I37" s="141">
        <f t="shared" si="1"/>
        <v>0</v>
      </c>
      <c r="J37" s="139" t="str">
        <f>IF(EINGABEN!C37="","",EINGABEN!C37)</f>
        <v/>
      </c>
      <c r="K37" s="152" t="str">
        <f t="shared" si="2"/>
        <v/>
      </c>
      <c r="L37" s="139" t="str">
        <f t="shared" si="5"/>
        <v/>
      </c>
      <c r="M37" s="139" t="str">
        <f t="shared" si="6"/>
        <v/>
      </c>
      <c r="N37" s="139"/>
      <c r="O37" s="138"/>
      <c r="P37" s="139"/>
      <c r="Q37" s="139"/>
      <c r="R37" s="139"/>
    </row>
    <row r="38" spans="1:18" x14ac:dyDescent="0.3">
      <c r="A38" s="150">
        <f>EINGABEN!A38</f>
        <v>2.7182818284590451</v>
      </c>
      <c r="B38" s="106">
        <f>EINGABEN!D38</f>
        <v>0</v>
      </c>
      <c r="C38" s="106"/>
      <c r="D38" s="106">
        <f t="shared" si="3"/>
        <v>3.6786590822442982E-5</v>
      </c>
      <c r="E38" s="106">
        <f t="shared" si="4"/>
        <v>0</v>
      </c>
      <c r="F38" s="151">
        <f>(C51+C53*D38)</f>
        <v>33.393899027409567</v>
      </c>
      <c r="G38" s="141">
        <f t="shared" si="0"/>
        <v>0</v>
      </c>
      <c r="H38" s="141">
        <f t="shared" si="1"/>
        <v>1.3532532643378463E-9</v>
      </c>
      <c r="I38" s="141">
        <f t="shared" si="1"/>
        <v>0</v>
      </c>
      <c r="J38" s="139" t="str">
        <f>IF(EINGABEN!C38="","",EINGABEN!C38)</f>
        <v/>
      </c>
      <c r="K38" s="152" t="str">
        <f t="shared" si="2"/>
        <v/>
      </c>
      <c r="L38" s="139" t="str">
        <f t="shared" si="5"/>
        <v/>
      </c>
      <c r="M38" s="139" t="str">
        <f t="shared" si="6"/>
        <v/>
      </c>
      <c r="N38" s="139"/>
      <c r="O38" s="138"/>
      <c r="P38" s="139"/>
      <c r="Q38" s="139"/>
      <c r="R38" s="139"/>
    </row>
    <row r="39" spans="1:18" x14ac:dyDescent="0.3">
      <c r="A39" s="150">
        <f>EINGABEN!A39</f>
        <v>2.7182818284590451</v>
      </c>
      <c r="B39" s="106">
        <f>EINGABEN!D39</f>
        <v>0</v>
      </c>
      <c r="C39" s="106"/>
      <c r="D39" s="106">
        <f t="shared" si="3"/>
        <v>3.6786590822442982E-5</v>
      </c>
      <c r="E39" s="106">
        <f t="shared" si="4"/>
        <v>0</v>
      </c>
      <c r="F39" s="151">
        <f>(C51+C53*D39)</f>
        <v>33.393899027409567</v>
      </c>
      <c r="G39" s="141">
        <f t="shared" si="0"/>
        <v>0</v>
      </c>
      <c r="H39" s="141">
        <f t="shared" si="1"/>
        <v>1.3532532643378463E-9</v>
      </c>
      <c r="I39" s="141">
        <f t="shared" si="1"/>
        <v>0</v>
      </c>
      <c r="J39" s="139" t="str">
        <f>IF(EINGABEN!C39="","",EINGABEN!C39)</f>
        <v/>
      </c>
      <c r="K39" s="152" t="str">
        <f t="shared" si="2"/>
        <v/>
      </c>
      <c r="L39" s="139" t="str">
        <f t="shared" si="5"/>
        <v/>
      </c>
      <c r="M39" s="139" t="str">
        <f t="shared" si="6"/>
        <v/>
      </c>
      <c r="N39" s="139"/>
      <c r="O39" s="138"/>
      <c r="P39" s="139"/>
      <c r="Q39" s="139"/>
      <c r="R39" s="139"/>
    </row>
    <row r="40" spans="1:18" x14ac:dyDescent="0.3">
      <c r="A40" s="150">
        <f>EINGABEN!A40</f>
        <v>2.7182818284590451</v>
      </c>
      <c r="B40" s="106">
        <f>EINGABEN!D40</f>
        <v>0</v>
      </c>
      <c r="C40" s="106"/>
      <c r="D40" s="106">
        <f t="shared" si="3"/>
        <v>3.6786590822442982E-5</v>
      </c>
      <c r="E40" s="106">
        <f t="shared" si="4"/>
        <v>0</v>
      </c>
      <c r="F40" s="151">
        <f>(C51+C53*D40)</f>
        <v>33.393899027409567</v>
      </c>
      <c r="G40" s="141">
        <f t="shared" si="0"/>
        <v>0</v>
      </c>
      <c r="H40" s="141">
        <f t="shared" si="1"/>
        <v>1.3532532643378463E-9</v>
      </c>
      <c r="I40" s="141">
        <f t="shared" si="1"/>
        <v>0</v>
      </c>
      <c r="J40" s="139" t="str">
        <f>IF(EINGABEN!C40="","",EINGABEN!C40)</f>
        <v/>
      </c>
      <c r="K40" s="152" t="str">
        <f t="shared" si="2"/>
        <v/>
      </c>
      <c r="L40" s="139" t="str">
        <f t="shared" si="5"/>
        <v/>
      </c>
      <c r="M40" s="139" t="str">
        <f t="shared" si="6"/>
        <v/>
      </c>
      <c r="N40" s="139"/>
      <c r="O40" s="138"/>
      <c r="P40" s="139"/>
      <c r="Q40" s="139"/>
      <c r="R40" s="139"/>
    </row>
    <row r="41" spans="1:18" x14ac:dyDescent="0.3">
      <c r="A41" s="150">
        <f>EINGABEN!A41</f>
        <v>2.7182818284590451</v>
      </c>
      <c r="B41" s="106">
        <f>EINGABEN!D41</f>
        <v>0</v>
      </c>
      <c r="C41" s="106"/>
      <c r="D41" s="106">
        <f t="shared" si="3"/>
        <v>3.6786590822442982E-5</v>
      </c>
      <c r="E41" s="106">
        <f t="shared" si="4"/>
        <v>0</v>
      </c>
      <c r="F41" s="151">
        <f>(C51+C53*D41)</f>
        <v>33.393899027409567</v>
      </c>
      <c r="G41" s="141">
        <f t="shared" si="0"/>
        <v>0</v>
      </c>
      <c r="H41" s="141">
        <f t="shared" si="1"/>
        <v>1.3532532643378463E-9</v>
      </c>
      <c r="I41" s="141">
        <f t="shared" si="1"/>
        <v>0</v>
      </c>
      <c r="J41" s="139" t="str">
        <f>IF(EINGABEN!C41="","",EINGABEN!C41)</f>
        <v/>
      </c>
      <c r="K41" s="152" t="str">
        <f t="shared" si="2"/>
        <v/>
      </c>
      <c r="L41" s="139" t="str">
        <f t="shared" si="5"/>
        <v/>
      </c>
      <c r="M41" s="139" t="str">
        <f t="shared" si="6"/>
        <v/>
      </c>
      <c r="N41" s="139"/>
      <c r="O41" s="144"/>
      <c r="P41" s="139"/>
      <c r="Q41" s="139"/>
      <c r="R41" s="139"/>
    </row>
    <row r="42" spans="1:18" x14ac:dyDescent="0.3">
      <c r="A42" s="150">
        <f>EINGABEN!A42</f>
        <v>2.7182818284590451</v>
      </c>
      <c r="B42" s="106">
        <f>EINGABEN!D42</f>
        <v>0</v>
      </c>
      <c r="C42" s="106"/>
      <c r="D42" s="106">
        <f t="shared" si="3"/>
        <v>3.6786590822442982E-5</v>
      </c>
      <c r="E42" s="106">
        <f t="shared" si="4"/>
        <v>0</v>
      </c>
      <c r="F42" s="151">
        <f>(C51+C53*D42)</f>
        <v>33.393899027409567</v>
      </c>
      <c r="G42" s="141">
        <f t="shared" si="0"/>
        <v>0</v>
      </c>
      <c r="H42" s="141">
        <f t="shared" si="1"/>
        <v>1.3532532643378463E-9</v>
      </c>
      <c r="I42" s="141">
        <f t="shared" si="1"/>
        <v>0</v>
      </c>
      <c r="J42" s="139" t="str">
        <f>IF(EINGABEN!C42="","",EINGABEN!C42)</f>
        <v/>
      </c>
      <c r="K42" s="152" t="str">
        <f t="shared" si="2"/>
        <v/>
      </c>
      <c r="L42" s="139" t="str">
        <f t="shared" si="5"/>
        <v/>
      </c>
      <c r="M42" s="139" t="str">
        <f t="shared" si="6"/>
        <v/>
      </c>
      <c r="N42" s="139"/>
      <c r="O42" s="144"/>
      <c r="P42" s="139"/>
      <c r="Q42" s="139"/>
      <c r="R42" s="139"/>
    </row>
    <row r="43" spans="1:18" x14ac:dyDescent="0.3">
      <c r="A43" s="150">
        <f>EINGABEN!A43</f>
        <v>2.7182818284590451</v>
      </c>
      <c r="B43" s="106">
        <f>EINGABEN!D43</f>
        <v>0</v>
      </c>
      <c r="C43" s="106"/>
      <c r="D43" s="106">
        <f t="shared" si="3"/>
        <v>3.6786590822442982E-5</v>
      </c>
      <c r="E43" s="106">
        <f t="shared" si="4"/>
        <v>0</v>
      </c>
      <c r="F43" s="151">
        <f>(C51+C53*D43)</f>
        <v>33.393899027409567</v>
      </c>
      <c r="G43" s="141">
        <f t="shared" si="0"/>
        <v>0</v>
      </c>
      <c r="H43" s="141">
        <f t="shared" si="1"/>
        <v>1.3532532643378463E-9</v>
      </c>
      <c r="I43" s="141">
        <f t="shared" si="1"/>
        <v>0</v>
      </c>
      <c r="J43" s="139" t="str">
        <f>IF(EINGABEN!C43="","",EINGABEN!C43)</f>
        <v/>
      </c>
      <c r="K43" s="152" t="str">
        <f t="shared" si="2"/>
        <v/>
      </c>
      <c r="L43" s="139" t="str">
        <f t="shared" si="5"/>
        <v/>
      </c>
      <c r="M43" s="139" t="str">
        <f t="shared" si="6"/>
        <v/>
      </c>
      <c r="N43" s="139"/>
      <c r="O43" s="144"/>
      <c r="P43" s="139"/>
      <c r="Q43" s="139"/>
      <c r="R43" s="139"/>
    </row>
    <row r="44" spans="1:18" x14ac:dyDescent="0.3">
      <c r="A44" s="150">
        <f>EINGABEN!A44</f>
        <v>2.7182818284590451</v>
      </c>
      <c r="B44" s="106">
        <f>EINGABEN!D44</f>
        <v>0</v>
      </c>
      <c r="C44" s="106"/>
      <c r="D44" s="106">
        <f t="shared" si="3"/>
        <v>3.6786590822442982E-5</v>
      </c>
      <c r="E44" s="106">
        <f t="shared" si="4"/>
        <v>0</v>
      </c>
      <c r="F44" s="151">
        <f>(C51+C53*D44)</f>
        <v>33.393899027409567</v>
      </c>
      <c r="G44" s="141">
        <f t="shared" si="0"/>
        <v>0</v>
      </c>
      <c r="H44" s="141">
        <f t="shared" si="1"/>
        <v>1.3532532643378463E-9</v>
      </c>
      <c r="I44" s="141">
        <f t="shared" si="1"/>
        <v>0</v>
      </c>
      <c r="J44" s="139" t="str">
        <f>IF(EINGABEN!C44="","",EINGABEN!C44)</f>
        <v/>
      </c>
      <c r="K44" s="152" t="str">
        <f t="shared" si="2"/>
        <v/>
      </c>
      <c r="L44" s="139" t="str">
        <f t="shared" si="5"/>
        <v/>
      </c>
      <c r="M44" s="139" t="str">
        <f t="shared" si="6"/>
        <v/>
      </c>
      <c r="N44" s="139"/>
      <c r="O44" s="144"/>
      <c r="P44" s="139"/>
      <c r="Q44" s="139"/>
      <c r="R44" s="139"/>
    </row>
    <row r="45" spans="1:18" ht="15" thickBot="1" x14ac:dyDescent="0.35">
      <c r="A45" s="207">
        <f>EINGABEN!A45</f>
        <v>2.7182818284590451</v>
      </c>
      <c r="B45" s="208">
        <f>EINGABEN!D45</f>
        <v>0</v>
      </c>
      <c r="C45" s="208"/>
      <c r="D45" s="208">
        <f t="shared" si="3"/>
        <v>3.6786590822442982E-5</v>
      </c>
      <c r="E45" s="208">
        <f t="shared" si="4"/>
        <v>0</v>
      </c>
      <c r="F45" s="161">
        <f>(C51+C53*D45)</f>
        <v>33.393899027409567</v>
      </c>
      <c r="G45" s="141">
        <f t="shared" si="0"/>
        <v>0</v>
      </c>
      <c r="H45" s="141">
        <f t="shared" si="1"/>
        <v>1.3532532643378463E-9</v>
      </c>
      <c r="I45" s="141">
        <f t="shared" si="1"/>
        <v>0</v>
      </c>
      <c r="J45" s="139" t="str">
        <f>IF(EINGABEN!C45="","",EINGABEN!C45)</f>
        <v/>
      </c>
      <c r="K45" s="139"/>
      <c r="L45" s="139" t="str">
        <f t="shared" si="5"/>
        <v/>
      </c>
      <c r="M45" s="139" t="str">
        <f t="shared" si="6"/>
        <v/>
      </c>
      <c r="N45" s="139"/>
      <c r="O45" s="144"/>
      <c r="P45" s="139"/>
      <c r="Q45" s="139"/>
      <c r="R45" s="139"/>
    </row>
    <row r="46" spans="1:18" ht="15" thickTop="1" x14ac:dyDescent="0.3">
      <c r="A46" s="153" t="s">
        <v>44</v>
      </c>
      <c r="B46" s="154"/>
      <c r="C46" s="154"/>
      <c r="D46" s="154"/>
      <c r="E46" s="154"/>
      <c r="F46" s="149"/>
      <c r="G46" s="152"/>
      <c r="H46" s="152"/>
      <c r="I46" s="152"/>
      <c r="J46" s="139"/>
      <c r="K46" s="152"/>
      <c r="L46" s="155" t="s">
        <v>116</v>
      </c>
      <c r="M46" s="156">
        <f>((SUM(M6:M45))/((EINGABEN!D46)-1))^0.5</f>
        <v>54.860919355367486</v>
      </c>
      <c r="N46" s="139"/>
      <c r="O46" s="139"/>
      <c r="P46" s="139"/>
      <c r="Q46" s="139"/>
      <c r="R46" s="139"/>
    </row>
    <row r="47" spans="1:18" x14ac:dyDescent="0.3">
      <c r="A47" s="157" t="s">
        <v>40</v>
      </c>
      <c r="B47" s="158" t="s">
        <v>43</v>
      </c>
      <c r="C47" s="158"/>
      <c r="D47" s="158"/>
      <c r="E47" s="158"/>
      <c r="F47" s="151"/>
      <c r="G47" s="152"/>
      <c r="H47" s="152"/>
      <c r="I47" s="152"/>
      <c r="J47" s="139"/>
      <c r="K47" s="152"/>
      <c r="L47" s="139"/>
      <c r="M47" s="139"/>
      <c r="N47" s="139"/>
      <c r="O47" s="139"/>
      <c r="P47" s="139"/>
      <c r="Q47" s="139"/>
      <c r="R47" s="139"/>
    </row>
    <row r="48" spans="1:18" ht="20.399999999999999" x14ac:dyDescent="0.4">
      <c r="A48" s="157" t="s">
        <v>41</v>
      </c>
      <c r="B48" s="158" t="s">
        <v>105</v>
      </c>
      <c r="C48" s="158"/>
      <c r="D48" s="158"/>
      <c r="E48" s="158"/>
      <c r="F48" s="151"/>
      <c r="G48" s="152"/>
      <c r="H48" s="152"/>
      <c r="I48" s="152"/>
      <c r="J48" s="139"/>
      <c r="K48" s="155" t="s">
        <v>117</v>
      </c>
      <c r="L48" s="156">
        <f>(SUM(L6:L45))/(EINGABEN!D46)</f>
        <v>82.259352706444943</v>
      </c>
      <c r="M48" s="139"/>
      <c r="N48" s="139"/>
      <c r="O48" s="139"/>
      <c r="P48" s="139"/>
      <c r="Q48" s="139"/>
      <c r="R48" s="139"/>
    </row>
    <row r="49" spans="1:18" ht="15" thickBot="1" x14ac:dyDescent="0.35">
      <c r="A49" s="159" t="s">
        <v>39</v>
      </c>
      <c r="B49" s="160"/>
      <c r="C49" s="160"/>
      <c r="D49" s="160"/>
      <c r="E49" s="160"/>
      <c r="F49" s="161"/>
      <c r="G49" s="152"/>
      <c r="H49" s="152"/>
      <c r="I49" s="152"/>
      <c r="J49" s="152"/>
      <c r="K49" s="139"/>
      <c r="L49" s="139"/>
      <c r="M49" s="139"/>
      <c r="N49" s="139"/>
      <c r="O49" s="139"/>
      <c r="P49" s="139"/>
      <c r="Q49" s="139"/>
      <c r="R49" s="139"/>
    </row>
    <row r="50" spans="1:18" ht="15" thickTop="1" x14ac:dyDescent="0.3">
      <c r="A50" s="153"/>
      <c r="B50" s="154"/>
      <c r="C50" s="154"/>
      <c r="D50" s="154"/>
      <c r="E50" s="154"/>
      <c r="F50" s="149"/>
      <c r="G50" s="152"/>
      <c r="H50" s="152"/>
      <c r="I50" s="152"/>
      <c r="J50" s="152"/>
      <c r="K50" s="139"/>
      <c r="L50" s="139"/>
      <c r="M50" s="139"/>
      <c r="N50" s="139"/>
    </row>
    <row r="51" spans="1:18" x14ac:dyDescent="0.3">
      <c r="A51" s="162" t="s">
        <v>11</v>
      </c>
      <c r="B51" s="163"/>
      <c r="C51" s="164">
        <f>IF(MIN(EINGABEN!C6:'EINGABEN'!C45)&lt;1,"keine Lösung",IF(D58=0,0,ROUND(((E4-(C53*D4))/C4),6)))</f>
        <v>33.390194999999999</v>
      </c>
      <c r="D51" s="158"/>
      <c r="E51" s="158"/>
      <c r="F51" s="151"/>
      <c r="G51" s="152"/>
      <c r="H51" s="152"/>
      <c r="I51" s="152"/>
      <c r="J51" s="152"/>
      <c r="K51" s="139"/>
      <c r="L51" s="139"/>
      <c r="M51" s="139"/>
      <c r="N51" s="139"/>
    </row>
    <row r="52" spans="1:18" x14ac:dyDescent="0.3">
      <c r="A52" s="167"/>
      <c r="B52" s="168"/>
      <c r="C52" s="168"/>
      <c r="D52" s="158"/>
      <c r="E52" s="158"/>
      <c r="F52" s="151"/>
      <c r="G52" s="152"/>
      <c r="H52" s="152"/>
      <c r="I52" s="152"/>
      <c r="J52" s="152"/>
      <c r="K52" s="139"/>
      <c r="L52" s="139"/>
      <c r="M52" s="139"/>
      <c r="N52" s="139"/>
    </row>
    <row r="53" spans="1:18" x14ac:dyDescent="0.3">
      <c r="A53" s="169" t="s">
        <v>12</v>
      </c>
      <c r="B53" s="168"/>
      <c r="C53" s="168">
        <f>IF(MIN(EINGABEN!C6:'EINGABEN'!C45)&lt;1,"keine Lösung",IF(D58=0,0,ROUND((C4*G4-D4*E4)/(C4*H4-(D4)^2),6)))</f>
        <v>100.68960800000001</v>
      </c>
      <c r="D53" s="158"/>
      <c r="E53" s="158"/>
      <c r="F53" s="151"/>
      <c r="G53" s="186"/>
      <c r="H53" s="186"/>
      <c r="I53" s="186"/>
      <c r="J53" s="152"/>
      <c r="K53" s="139"/>
      <c r="L53" s="139"/>
      <c r="M53" s="139"/>
      <c r="N53" s="139"/>
    </row>
    <row r="54" spans="1:18" x14ac:dyDescent="0.3">
      <c r="A54" s="167"/>
      <c r="B54" s="168"/>
      <c r="C54" s="168"/>
      <c r="D54" s="158"/>
      <c r="E54" s="158"/>
      <c r="F54" s="151"/>
      <c r="G54" s="186"/>
      <c r="H54" s="186"/>
      <c r="I54" s="186"/>
      <c r="J54" s="152"/>
      <c r="K54" s="139"/>
      <c r="L54" s="139"/>
      <c r="M54" s="139"/>
      <c r="N54" s="139"/>
    </row>
    <row r="55" spans="1:18" x14ac:dyDescent="0.3">
      <c r="A55" s="169" t="s">
        <v>13</v>
      </c>
      <c r="B55" s="168"/>
      <c r="C55" s="168">
        <f>IF(MIN(EINGABEN!C6:'EINGABEN'!C45)&lt;1,"keine Lösung",IF(D58=0,0,IF(D57/D58&gt;1,1,ROUND(ABS(D57/D58),6))))</f>
        <v>0.73691600000000002</v>
      </c>
      <c r="D55" s="158"/>
      <c r="E55" s="158"/>
      <c r="F55" s="151"/>
      <c r="G55" s="186"/>
      <c r="H55" s="186"/>
      <c r="I55" s="186"/>
      <c r="J55" s="152"/>
      <c r="K55" s="139"/>
      <c r="L55" s="139"/>
      <c r="M55" s="139"/>
      <c r="N55" s="139"/>
    </row>
    <row r="56" spans="1:18" ht="15" thickBot="1" x14ac:dyDescent="0.35">
      <c r="A56" s="159"/>
      <c r="B56" s="160"/>
      <c r="C56" s="160"/>
      <c r="D56" s="160"/>
      <c r="E56" s="160"/>
      <c r="F56" s="161"/>
      <c r="G56" s="186"/>
      <c r="H56" s="186"/>
      <c r="I56" s="186"/>
      <c r="J56" s="152"/>
      <c r="K56" s="139"/>
      <c r="L56" s="139"/>
      <c r="M56" s="139"/>
      <c r="N56" s="139"/>
    </row>
    <row r="57" spans="1:18" ht="15" thickTop="1" x14ac:dyDescent="0.3">
      <c r="A57" s="209" t="s">
        <v>14</v>
      </c>
      <c r="B57" s="191"/>
      <c r="C57" s="210" t="s">
        <v>19</v>
      </c>
      <c r="D57" s="211">
        <f>(C4*G4-(D4*E4))</f>
        <v>3197.7987499999995</v>
      </c>
      <c r="E57" s="212" t="s">
        <v>71</v>
      </c>
      <c r="F57" s="149"/>
      <c r="G57" s="186"/>
      <c r="H57" s="186"/>
      <c r="I57" s="186"/>
      <c r="J57" s="152"/>
      <c r="K57" s="139"/>
      <c r="L57" s="139"/>
      <c r="M57" s="139"/>
      <c r="N57" s="139"/>
    </row>
    <row r="58" spans="1:18" x14ac:dyDescent="0.3">
      <c r="A58" s="174"/>
      <c r="B58" s="170"/>
      <c r="C58" s="171" t="s">
        <v>20</v>
      </c>
      <c r="D58" s="173">
        <f>((C4*H4-(D4)^2)*(C4*I4-(E4)^2))^0.5</f>
        <v>4339.4318264462408</v>
      </c>
      <c r="E58" s="173" t="s">
        <v>71</v>
      </c>
      <c r="F58" s="151"/>
      <c r="G58" s="186"/>
      <c r="H58" s="186"/>
      <c r="I58" s="186"/>
      <c r="J58" s="186"/>
    </row>
    <row r="59" spans="1:18" x14ac:dyDescent="0.3">
      <c r="A59" s="175"/>
      <c r="B59" s="61"/>
      <c r="C59" s="263" t="s">
        <v>110</v>
      </c>
      <c r="D59" s="264"/>
      <c r="E59" s="182">
        <f>IF(EINGABEN!D46&lt;10,"Anzahl zu klein",ROUND((E60*(1+E63/100)),2))</f>
        <v>465.96</v>
      </c>
      <c r="F59" s="177"/>
      <c r="G59" s="186"/>
      <c r="H59" s="186"/>
      <c r="I59" s="186"/>
      <c r="J59" s="186"/>
    </row>
    <row r="60" spans="1:18" x14ac:dyDescent="0.3">
      <c r="A60" s="178" t="s">
        <v>15</v>
      </c>
      <c r="B60" s="214">
        <v>10</v>
      </c>
      <c r="C60" s="179" t="s">
        <v>16</v>
      </c>
      <c r="D60" s="168" t="s">
        <v>72</v>
      </c>
      <c r="E60" s="180">
        <f>IF(MIN(EINGABEN!C6:'EINGABEN'!C45)&lt;1,"keine Lösung",IF(C55=0,0,ROUND((C51+C53*LN((LN((B60+0.0001))))),2)))</f>
        <v>117.37</v>
      </c>
      <c r="F60" s="151"/>
      <c r="G60" s="186"/>
      <c r="H60" s="186"/>
      <c r="I60" s="186"/>
      <c r="J60" s="186"/>
    </row>
    <row r="61" spans="1:18" x14ac:dyDescent="0.3">
      <c r="A61" s="181" t="s">
        <v>63</v>
      </c>
      <c r="B61" s="170" t="s">
        <v>108</v>
      </c>
      <c r="C61" s="263" t="s">
        <v>111</v>
      </c>
      <c r="D61" s="264"/>
      <c r="E61" s="182">
        <f>IF(EINGABEN!D46&lt;10,"Anzahl zu klein",ROUND((E60*(1-E63/100)),2))</f>
        <v>-231.22</v>
      </c>
      <c r="F61" s="151"/>
      <c r="G61" s="186"/>
      <c r="H61" s="186"/>
      <c r="I61" s="186"/>
      <c r="J61" s="186"/>
    </row>
    <row r="62" spans="1:18" x14ac:dyDescent="0.3">
      <c r="A62" s="178" t="s">
        <v>17</v>
      </c>
      <c r="B62" s="187">
        <v>123.65</v>
      </c>
      <c r="C62" s="179" t="s">
        <v>16</v>
      </c>
      <c r="D62" s="168" t="s">
        <v>70</v>
      </c>
      <c r="E62" s="180">
        <f>IF(MIN(EINGABEN!C6:'EINGABEN'!C45)&lt;1,"keine Lösung",IF(C55=0,0,ROUND(((2.71828183^(2.71828183^((B62-C51)/C53)))),1)))</f>
        <v>11.6</v>
      </c>
      <c r="F62" s="151"/>
      <c r="G62" s="186"/>
      <c r="H62" s="186"/>
      <c r="I62" s="186"/>
      <c r="J62" s="186"/>
    </row>
    <row r="63" spans="1:18" ht="15" thickBot="1" x14ac:dyDescent="0.35">
      <c r="A63" s="183" t="s">
        <v>130</v>
      </c>
      <c r="B63" s="184">
        <f>IF(MIN(EINGABEN!C6:'EINGABEN'!C45)&lt;1,"keine Lösung",IF(C55=0,0,ROUND((C51+C53*LN((LN((1+0.0001))))),2)))</f>
        <v>-894</v>
      </c>
      <c r="C63" s="273" t="s">
        <v>119</v>
      </c>
      <c r="D63" s="273"/>
      <c r="E63" s="185">
        <f>IF(EINGABEN!D46&lt;10,"Anzahl zu klein",ROUND((((2.868009*(LN(LN(EINGABEN!D46)))^-2.421118)*M46)/L48)*100,0))</f>
        <v>297</v>
      </c>
      <c r="F63" s="161"/>
      <c r="G63" s="186"/>
      <c r="H63" s="186"/>
      <c r="I63" s="186"/>
      <c r="J63" s="186"/>
    </row>
    <row r="64" spans="1:18" ht="15" thickTop="1" x14ac:dyDescent="0.3">
      <c r="A64" s="213"/>
      <c r="B64" s="213"/>
      <c r="C64" s="213"/>
      <c r="D64" s="213"/>
      <c r="E64" s="213"/>
      <c r="F64" s="213"/>
      <c r="G64" s="186"/>
      <c r="H64" s="186"/>
      <c r="I64" s="186"/>
      <c r="J64" s="186"/>
    </row>
    <row r="65" spans="2:4" x14ac:dyDescent="0.3">
      <c r="B65" s="61"/>
      <c r="D65" s="61"/>
    </row>
  </sheetData>
  <sheetProtection algorithmName="SHA-512" hashValue="TgmYz/Gg1U/CPEWBszUaqfIGSftOv9Bn6Ba4TudnPLYc4l2C1wFZEBbuKJ4URONStCLqCbwPmMrdt4ODMgDKbQ==" saltValue="kPMIuqStWQFtk258Xoarmg==" spinCount="100000" sheet="1" objects="1" scenarios="1"/>
  <mergeCells count="2">
    <mergeCell ref="A4:B4"/>
    <mergeCell ref="C63:D63"/>
  </mergeCells>
  <dataValidations count="3">
    <dataValidation showInputMessage="1" showErrorMessage="1" sqref="A6:B45" xr:uid="{00000000-0002-0000-0300-000000000000}"/>
    <dataValidation type="decimal" operator="greaterThanOrEqual" allowBlank="1" showInputMessage="1" showErrorMessage="1" sqref="B60" xr:uid="{CBFDBB78-0BFF-4301-A4F7-7D1BF542CAA6}">
      <formula1>1</formula1>
    </dataValidation>
    <dataValidation type="decimal" operator="greaterThanOrEqual" allowBlank="1" showInputMessage="1" showErrorMessage="1" sqref="B62" xr:uid="{48A96E03-999D-4B9D-825C-1E643197AA82}">
      <formula1>B63</formula1>
    </dataValidation>
  </dataValidations>
  <pageMargins left="0.7" right="0.7" top="0.78740157499999996" bottom="0.78740157499999996" header="0.3" footer="0.3"/>
  <pageSetup paperSize="9" orientation="portrait" horizontalDpi="4294967293" verticalDpi="4294967293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71"/>
  <sheetViews>
    <sheetView topLeftCell="A16" zoomScaleNormal="100" workbookViewId="0">
      <selection activeCell="H56" sqref="H56"/>
    </sheetView>
  </sheetViews>
  <sheetFormatPr baseColWidth="10" defaultRowHeight="14.4" x14ac:dyDescent="0.3"/>
  <cols>
    <col min="1" max="1" width="16.6640625" style="140" customWidth="1"/>
    <col min="2" max="5" width="11.5546875" style="140"/>
    <col min="6" max="6" width="17.109375" style="140" customWidth="1"/>
    <col min="7" max="9" width="11.5546875" style="140"/>
    <col min="10" max="10" width="16.21875" style="140" customWidth="1"/>
    <col min="11" max="11" width="35.5546875" style="140" customWidth="1"/>
    <col min="12" max="12" width="27.109375" style="140" customWidth="1"/>
    <col min="13" max="13" width="19.6640625" style="140" customWidth="1"/>
    <col min="14" max="14" width="19.77734375" style="140" customWidth="1"/>
    <col min="15" max="17" width="11.5546875" style="140"/>
    <col min="18" max="18" width="12.6640625" style="140" bestFit="1" customWidth="1"/>
    <col min="19" max="16384" width="11.5546875" style="140"/>
  </cols>
  <sheetData>
    <row r="1" spans="1:18" ht="18" x14ac:dyDescent="0.35">
      <c r="A1" s="215" t="s">
        <v>56</v>
      </c>
      <c r="B1" s="216"/>
      <c r="C1" s="216"/>
      <c r="D1" s="216"/>
      <c r="E1" s="216"/>
      <c r="F1" s="216"/>
      <c r="G1" s="216"/>
      <c r="H1" s="216"/>
      <c r="I1" s="217"/>
      <c r="J1" s="138"/>
      <c r="K1" s="138"/>
      <c r="L1" s="138"/>
      <c r="M1" s="138"/>
      <c r="N1" s="138"/>
      <c r="O1" s="138"/>
      <c r="P1" s="139"/>
      <c r="Q1" s="139"/>
      <c r="R1" s="139"/>
    </row>
    <row r="2" spans="1:18" x14ac:dyDescent="0.3">
      <c r="A2" s="141"/>
      <c r="B2" s="141"/>
      <c r="C2" s="261"/>
      <c r="D2" s="261"/>
      <c r="E2" s="261"/>
      <c r="F2" s="261"/>
      <c r="G2" s="261"/>
      <c r="H2" s="141"/>
      <c r="I2" s="137"/>
      <c r="J2" s="138"/>
      <c r="K2" s="138"/>
      <c r="L2" s="138"/>
      <c r="M2" s="138"/>
      <c r="N2" s="138"/>
      <c r="O2" s="138"/>
      <c r="P2" s="139"/>
      <c r="Q2" s="139"/>
      <c r="R2" s="139"/>
    </row>
    <row r="3" spans="1:18" x14ac:dyDescent="0.3">
      <c r="A3" s="141"/>
      <c r="B3" s="141"/>
      <c r="C3" s="141" t="s">
        <v>0</v>
      </c>
      <c r="D3" s="142" t="s">
        <v>1</v>
      </c>
      <c r="E3" s="141" t="s">
        <v>2</v>
      </c>
      <c r="F3" s="141" t="s">
        <v>21</v>
      </c>
      <c r="G3" s="141" t="s">
        <v>3</v>
      </c>
      <c r="H3" s="141" t="s">
        <v>4</v>
      </c>
      <c r="I3" s="141" t="s">
        <v>140</v>
      </c>
      <c r="J3" s="138"/>
      <c r="K3" s="138"/>
      <c r="L3" s="138"/>
      <c r="M3" s="138"/>
      <c r="N3" s="138"/>
      <c r="O3" s="138"/>
      <c r="P3" s="139"/>
      <c r="Q3" s="139"/>
      <c r="R3" s="139"/>
    </row>
    <row r="4" spans="1:18" x14ac:dyDescent="0.3">
      <c r="A4" s="269" t="s">
        <v>141</v>
      </c>
      <c r="B4" s="269"/>
      <c r="C4" s="141">
        <f>EINGABEN!$D$46</f>
        <v>10</v>
      </c>
      <c r="D4" s="141">
        <f>SUM(D6:D45)</f>
        <v>78.5</v>
      </c>
      <c r="E4" s="141">
        <f>(IF(MIN(B6:B45)&lt;=0,0,SUM(E6:E45)))</f>
        <v>36.744157124226291</v>
      </c>
      <c r="F4" s="143" t="s">
        <v>22</v>
      </c>
      <c r="G4" s="141">
        <f>IF(MIN(B5:B45)&lt;=0,0,SUM(G6:G45))</f>
        <v>351.76327991437904</v>
      </c>
      <c r="H4" s="141">
        <f>SUM(H6:H45)</f>
        <v>822.75</v>
      </c>
      <c r="I4" s="141">
        <f>IF(MIN(B6:B45)&lt;=0,0,SUM(I6:I45))</f>
        <v>156.29405445265115</v>
      </c>
      <c r="J4" s="138"/>
      <c r="K4" s="138"/>
      <c r="L4" s="138"/>
      <c r="M4" s="138"/>
      <c r="N4" s="138"/>
      <c r="O4" s="138"/>
      <c r="P4" s="139"/>
      <c r="Q4" s="139"/>
      <c r="R4" s="139"/>
    </row>
    <row r="5" spans="1:18" x14ac:dyDescent="0.3">
      <c r="A5" s="141" t="s">
        <v>8</v>
      </c>
      <c r="B5" s="141" t="s">
        <v>9</v>
      </c>
      <c r="C5" s="141" t="s">
        <v>38</v>
      </c>
      <c r="D5" s="141" t="s">
        <v>5</v>
      </c>
      <c r="E5" s="141" t="s">
        <v>6</v>
      </c>
      <c r="F5" s="141" t="s">
        <v>23</v>
      </c>
      <c r="G5" s="141" t="s">
        <v>10</v>
      </c>
      <c r="H5" s="141" t="s">
        <v>7</v>
      </c>
      <c r="I5" s="142" t="s">
        <v>18</v>
      </c>
      <c r="J5" s="144" t="s">
        <v>114</v>
      </c>
      <c r="K5" s="144" t="s">
        <v>135</v>
      </c>
      <c r="L5" s="144" t="s">
        <v>134</v>
      </c>
      <c r="M5" s="144" t="s">
        <v>115</v>
      </c>
      <c r="N5" s="138"/>
      <c r="O5" s="138"/>
      <c r="P5" s="139"/>
      <c r="Q5" s="139"/>
      <c r="R5" s="139"/>
    </row>
    <row r="6" spans="1:18" x14ac:dyDescent="0.3">
      <c r="A6" s="141">
        <f>EINGABEN!C6</f>
        <v>8</v>
      </c>
      <c r="B6" s="141">
        <f>EINGABEN!E6</f>
        <v>64</v>
      </c>
      <c r="C6" s="141"/>
      <c r="D6" s="141">
        <f>(A6)</f>
        <v>8</v>
      </c>
      <c r="E6" s="141">
        <f>(LN(B6))</f>
        <v>4.1588830833596715</v>
      </c>
      <c r="F6" s="143">
        <f>((-LN((C52*(2.71828183^(C54*D6)))^-1)))</f>
        <v>3.7204065682100498</v>
      </c>
      <c r="G6" s="141">
        <f t="shared" ref="G6:G45" si="0">(D6*E6)</f>
        <v>33.271064666877372</v>
      </c>
      <c r="H6" s="141">
        <f t="shared" ref="H6:I45" si="1">(D6)^2</f>
        <v>64</v>
      </c>
      <c r="I6" s="141">
        <f t="shared" si="1"/>
        <v>17.296308501055247</v>
      </c>
      <c r="J6" s="144">
        <f>IF(EINGABEN!C6="","",EINGABEN!C6)</f>
        <v>8</v>
      </c>
      <c r="K6" s="141">
        <f>IF(J6="","",B6)</f>
        <v>64</v>
      </c>
      <c r="L6" s="143">
        <f>IF(J6="","",($C$52*EXP($C$54*J6)))</f>
        <v>41.28117425297885</v>
      </c>
      <c r="M6" s="144">
        <f>IF(K6="","",(K6-L6)^2)</f>
        <v>516.14504332351112</v>
      </c>
      <c r="N6" s="138"/>
      <c r="O6" s="138"/>
      <c r="P6" s="139"/>
      <c r="Q6" s="152"/>
      <c r="R6" s="139"/>
    </row>
    <row r="7" spans="1:18" x14ac:dyDescent="0.3">
      <c r="A7" s="141">
        <f>EINGABEN!C7</f>
        <v>7</v>
      </c>
      <c r="B7" s="141">
        <f>EINGABEN!E7</f>
        <v>49</v>
      </c>
      <c r="C7" s="141"/>
      <c r="D7" s="141">
        <f t="shared" ref="D7:D45" si="2">(A7)</f>
        <v>7</v>
      </c>
      <c r="E7" s="141">
        <f t="shared" ref="E7:E45" si="3">(LN(B7))</f>
        <v>3.8918202981106265</v>
      </c>
      <c r="F7" s="143">
        <f>((-LN((C52*(2.71828183^(C54*D7)))^-1)))</f>
        <v>3.4138015680362397</v>
      </c>
      <c r="G7" s="141">
        <f t="shared" si="0"/>
        <v>27.242742086774385</v>
      </c>
      <c r="H7" s="141">
        <f t="shared" si="1"/>
        <v>49</v>
      </c>
      <c r="I7" s="141">
        <f t="shared" si="1"/>
        <v>15.146265232785886</v>
      </c>
      <c r="J7" s="144">
        <f>IF(EINGABEN!C7="","",EINGABEN!C7)</f>
        <v>7</v>
      </c>
      <c r="K7" s="141">
        <f t="shared" ref="K7:K45" si="4">IF(J7="","",B7)</f>
        <v>49</v>
      </c>
      <c r="L7" s="143">
        <f t="shared" ref="L7:L45" si="5">IF(J7="","",($C$52*EXP($C$54*J7)))</f>
        <v>30.380518580452016</v>
      </c>
      <c r="M7" s="144">
        <f t="shared" ref="M7:M45" si="6">IF(K7="","",(K7-L7)^2)</f>
        <v>346.68508833289263</v>
      </c>
      <c r="N7" s="138"/>
      <c r="O7" s="138"/>
      <c r="P7" s="139"/>
      <c r="Q7" s="152"/>
      <c r="R7" s="139"/>
    </row>
    <row r="8" spans="1:18" x14ac:dyDescent="0.3">
      <c r="A8" s="141">
        <f>EINGABEN!C8</f>
        <v>4</v>
      </c>
      <c r="B8" s="218">
        <f>EINGABEN!E8</f>
        <v>16</v>
      </c>
      <c r="C8" s="141"/>
      <c r="D8" s="141">
        <f t="shared" si="2"/>
        <v>4</v>
      </c>
      <c r="E8" s="141">
        <f t="shared" si="3"/>
        <v>2.7725887222397811</v>
      </c>
      <c r="F8" s="143">
        <f>((-LN((C52*(2.71828183^(C54*D8)))^-1)))</f>
        <v>2.4939865675148098</v>
      </c>
      <c r="G8" s="141">
        <f t="shared" si="0"/>
        <v>11.090354888959125</v>
      </c>
      <c r="H8" s="141">
        <f t="shared" si="1"/>
        <v>16</v>
      </c>
      <c r="I8" s="141">
        <f t="shared" si="1"/>
        <v>7.6872482226912222</v>
      </c>
      <c r="J8" s="144">
        <f>IF(EINGABEN!C8="","",EINGABEN!C8)</f>
        <v>4</v>
      </c>
      <c r="K8" s="141">
        <f t="shared" si="4"/>
        <v>16</v>
      </c>
      <c r="L8" s="143">
        <f t="shared" si="5"/>
        <v>12.109455174328982</v>
      </c>
      <c r="M8" s="144">
        <f t="shared" si="6"/>
        <v>15.136339040555532</v>
      </c>
      <c r="N8" s="138"/>
      <c r="O8" s="138"/>
      <c r="P8" s="139"/>
      <c r="Q8" s="152"/>
      <c r="R8" s="139"/>
    </row>
    <row r="9" spans="1:18" x14ac:dyDescent="0.3">
      <c r="A9" s="141">
        <f>EINGABEN!C9</f>
        <v>2.5</v>
      </c>
      <c r="B9" s="141">
        <f>EINGABEN!E9</f>
        <v>6.25</v>
      </c>
      <c r="C9" s="141"/>
      <c r="D9" s="141">
        <f t="shared" si="2"/>
        <v>2.5</v>
      </c>
      <c r="E9" s="141">
        <f t="shared" si="3"/>
        <v>1.8325814637483102</v>
      </c>
      <c r="F9" s="143">
        <f>((-LN((C52*(2.71828183^(C54*D9)))^-1)))</f>
        <v>2.0340790672540949</v>
      </c>
      <c r="G9" s="141">
        <f t="shared" si="0"/>
        <v>4.5814536593707755</v>
      </c>
      <c r="H9" s="141">
        <f t="shared" si="1"/>
        <v>6.25</v>
      </c>
      <c r="I9" s="141">
        <f t="shared" si="1"/>
        <v>3.3583548212738994</v>
      </c>
      <c r="J9" s="144">
        <f>IF(EINGABEN!C9="","",EINGABEN!C9)</f>
        <v>2.5</v>
      </c>
      <c r="K9" s="141">
        <f t="shared" si="4"/>
        <v>6.25</v>
      </c>
      <c r="L9" s="143">
        <f t="shared" si="5"/>
        <v>7.6452081566014458</v>
      </c>
      <c r="M9" s="144">
        <f t="shared" si="6"/>
        <v>1.9466058002472046</v>
      </c>
      <c r="N9" s="138"/>
      <c r="O9" s="138"/>
      <c r="P9" s="139"/>
      <c r="Q9" s="152"/>
      <c r="R9" s="139"/>
    </row>
    <row r="10" spans="1:18" x14ac:dyDescent="0.3">
      <c r="A10" s="141">
        <f>EINGABEN!C10</f>
        <v>4.5</v>
      </c>
      <c r="B10" s="262">
        <f>EINGABEN!E10</f>
        <v>20.25</v>
      </c>
      <c r="C10" s="141"/>
      <c r="D10" s="141">
        <f t="shared" si="2"/>
        <v>4.5</v>
      </c>
      <c r="E10" s="141">
        <f t="shared" si="3"/>
        <v>3.0081547935525483</v>
      </c>
      <c r="F10" s="143">
        <f>((-LN((C52*(2.71828183^(C54*D10)))^-1)))</f>
        <v>2.6472890676017151</v>
      </c>
      <c r="G10" s="141">
        <f t="shared" si="0"/>
        <v>13.536696570986468</v>
      </c>
      <c r="H10" s="141">
        <f t="shared" si="1"/>
        <v>20.25</v>
      </c>
      <c r="I10" s="141">
        <f t="shared" si="1"/>
        <v>9.0489952619731753</v>
      </c>
      <c r="J10" s="144">
        <f>IF(EINGABEN!C10="","",EINGABEN!C10)</f>
        <v>4.5</v>
      </c>
      <c r="K10" s="141">
        <f t="shared" si="4"/>
        <v>20.25</v>
      </c>
      <c r="L10" s="143">
        <f t="shared" si="5"/>
        <v>14.115719955546322</v>
      </c>
      <c r="M10" s="144">
        <f t="shared" si="6"/>
        <v>37.62939166378262</v>
      </c>
      <c r="N10" s="138"/>
      <c r="O10" s="138"/>
      <c r="P10" s="139"/>
      <c r="Q10" s="152"/>
      <c r="R10" s="139"/>
    </row>
    <row r="11" spans="1:18" x14ac:dyDescent="0.3">
      <c r="A11" s="141">
        <f>EINGABEN!C11</f>
        <v>10</v>
      </c>
      <c r="B11" s="262">
        <f>EINGABEN!E11</f>
        <v>100</v>
      </c>
      <c r="C11" s="141"/>
      <c r="D11" s="141">
        <f t="shared" si="2"/>
        <v>10</v>
      </c>
      <c r="E11" s="141">
        <f t="shared" si="3"/>
        <v>4.6051701859880918</v>
      </c>
      <c r="F11" s="143">
        <f>((-LN((C52*(2.71828183^(C54*D11)))^-1)))</f>
        <v>4.3336165685576704</v>
      </c>
      <c r="G11" s="141">
        <f t="shared" si="0"/>
        <v>46.051701859880922</v>
      </c>
      <c r="H11" s="141">
        <f t="shared" si="1"/>
        <v>100</v>
      </c>
      <c r="I11" s="141">
        <f t="shared" si="1"/>
        <v>21.207592441913597</v>
      </c>
      <c r="J11" s="144">
        <f>IF(EINGABEN!C11="","",EINGABEN!C11)</f>
        <v>10</v>
      </c>
      <c r="K11" s="141">
        <f t="shared" si="4"/>
        <v>100</v>
      </c>
      <c r="L11" s="143">
        <f t="shared" si="5"/>
        <v>76.219441414162148</v>
      </c>
      <c r="M11" s="144">
        <f t="shared" si="6"/>
        <v>565.51496665446643</v>
      </c>
      <c r="N11" s="138"/>
      <c r="O11" s="138"/>
      <c r="P11" s="139"/>
      <c r="Q11" s="152"/>
      <c r="R11" s="139"/>
    </row>
    <row r="12" spans="1:18" x14ac:dyDescent="0.3">
      <c r="A12" s="141">
        <f>EINGABEN!C12</f>
        <v>12</v>
      </c>
      <c r="B12" s="262">
        <f>EINGABEN!E12</f>
        <v>144</v>
      </c>
      <c r="C12" s="141"/>
      <c r="D12" s="141">
        <f t="shared" si="2"/>
        <v>12</v>
      </c>
      <c r="E12" s="141">
        <f t="shared" si="3"/>
        <v>4.9698132995760007</v>
      </c>
      <c r="F12" s="143">
        <f>((-LN((C52*(2.71828183^(C54*D12)))^-1)))</f>
        <v>4.9468265689052897</v>
      </c>
      <c r="G12" s="141">
        <f t="shared" si="0"/>
        <v>59.637759594912012</v>
      </c>
      <c r="H12" s="141">
        <f t="shared" si="1"/>
        <v>144</v>
      </c>
      <c r="I12" s="141">
        <f t="shared" si="1"/>
        <v>24.699044232642496</v>
      </c>
      <c r="J12" s="144">
        <f>IF(EINGABEN!C12="","",EINGABEN!C12)</f>
        <v>12</v>
      </c>
      <c r="K12" s="141">
        <f t="shared" si="4"/>
        <v>144</v>
      </c>
      <c r="L12" s="143">
        <f t="shared" si="5"/>
        <v>140.72766471917134</v>
      </c>
      <c r="M12" s="144">
        <f t="shared" si="6"/>
        <v>10.708178190155961</v>
      </c>
      <c r="N12" s="138"/>
      <c r="O12" s="138"/>
      <c r="P12" s="139"/>
      <c r="Q12" s="152"/>
      <c r="R12" s="139"/>
    </row>
    <row r="13" spans="1:18" x14ac:dyDescent="0.3">
      <c r="A13" s="141">
        <f>EINGABEN!C13</f>
        <v>15</v>
      </c>
      <c r="B13" s="262">
        <f>EINGABEN!E13</f>
        <v>225</v>
      </c>
      <c r="C13" s="141"/>
      <c r="D13" s="141">
        <f t="shared" si="2"/>
        <v>15</v>
      </c>
      <c r="E13" s="141">
        <f t="shared" si="3"/>
        <v>5.4161004022044201</v>
      </c>
      <c r="F13" s="143">
        <f>((-LN((C52*(2.71828183^(C54*D13)))^-1)))</f>
        <v>5.8666415694267204</v>
      </c>
      <c r="G13" s="141">
        <f t="shared" si="0"/>
        <v>81.241506033066301</v>
      </c>
      <c r="H13" s="141">
        <f t="shared" si="1"/>
        <v>225</v>
      </c>
      <c r="I13" s="141">
        <f t="shared" si="1"/>
        <v>29.334143566758883</v>
      </c>
      <c r="J13" s="144">
        <f>IF(EINGABEN!C13="","",EINGABEN!C13)</f>
        <v>15</v>
      </c>
      <c r="K13" s="141">
        <f t="shared" si="4"/>
        <v>225</v>
      </c>
      <c r="L13" s="143">
        <f t="shared" si="5"/>
        <v>353.06125430381445</v>
      </c>
      <c r="M13" s="144">
        <f t="shared" si="6"/>
        <v>16399.684853866234</v>
      </c>
      <c r="N13" s="138"/>
      <c r="O13" s="138"/>
      <c r="P13" s="139"/>
      <c r="Q13" s="152"/>
      <c r="R13" s="139"/>
    </row>
    <row r="14" spans="1:18" x14ac:dyDescent="0.3">
      <c r="A14" s="141">
        <f>EINGABEN!C14</f>
        <v>1.5</v>
      </c>
      <c r="B14" s="262">
        <f>EINGABEN!E14</f>
        <v>2.25</v>
      </c>
      <c r="C14" s="141"/>
      <c r="D14" s="141">
        <f t="shared" si="2"/>
        <v>1.5</v>
      </c>
      <c r="E14" s="141">
        <f t="shared" si="3"/>
        <v>0.81093021621632877</v>
      </c>
      <c r="F14" s="143">
        <f>((-LN((C52*(2.71828183^(C54*D14)))^-1)))</f>
        <v>1.7274740670802851</v>
      </c>
      <c r="G14" s="141">
        <f t="shared" si="0"/>
        <v>1.2163953243244932</v>
      </c>
      <c r="H14" s="141">
        <f t="shared" si="1"/>
        <v>2.25</v>
      </c>
      <c r="I14" s="141">
        <f t="shared" si="1"/>
        <v>0.65760781557266168</v>
      </c>
      <c r="J14" s="144">
        <f>IF(EINGABEN!C14="","",EINGABEN!C14)</f>
        <v>1.5</v>
      </c>
      <c r="K14" s="141">
        <f t="shared" si="4"/>
        <v>2.25</v>
      </c>
      <c r="L14" s="143">
        <f t="shared" si="5"/>
        <v>5.6264239730606338</v>
      </c>
      <c r="M14" s="144">
        <f t="shared" si="6"/>
        <v>11.400238845858556</v>
      </c>
      <c r="N14" s="138"/>
      <c r="O14" s="138"/>
      <c r="P14" s="139"/>
      <c r="Q14" s="152"/>
      <c r="R14" s="139"/>
    </row>
    <row r="15" spans="1:18" ht="15" thickBot="1" x14ac:dyDescent="0.35">
      <c r="A15" s="145">
        <f>EINGABEN!C15</f>
        <v>14</v>
      </c>
      <c r="B15" s="189">
        <f>EINGABEN!E15</f>
        <v>196</v>
      </c>
      <c r="C15" s="145"/>
      <c r="D15" s="145">
        <f t="shared" si="2"/>
        <v>14</v>
      </c>
      <c r="E15" s="145">
        <f t="shared" si="3"/>
        <v>5.2781146592305168</v>
      </c>
      <c r="F15" s="146">
        <f>((-LN((C52*(2.71828183^(C54*D15)))^-1)))</f>
        <v>5.5600365692529099</v>
      </c>
      <c r="G15" s="141">
        <f t="shared" si="0"/>
        <v>73.893605229227234</v>
      </c>
      <c r="H15" s="141">
        <f t="shared" si="1"/>
        <v>196</v>
      </c>
      <c r="I15" s="141">
        <f t="shared" si="1"/>
        <v>27.858494355984075</v>
      </c>
      <c r="J15" s="144">
        <f>IF(EINGABEN!C15="","",EINGABEN!C15)</f>
        <v>14</v>
      </c>
      <c r="K15" s="141">
        <f t="shared" si="4"/>
        <v>196</v>
      </c>
      <c r="L15" s="143">
        <f t="shared" si="5"/>
        <v>259.83233739143765</v>
      </c>
      <c r="M15" s="144">
        <f t="shared" si="6"/>
        <v>4074.567296854329</v>
      </c>
      <c r="N15" s="138"/>
      <c r="O15" s="138"/>
      <c r="P15" s="139"/>
      <c r="Q15" s="152"/>
      <c r="R15" s="139"/>
    </row>
    <row r="16" spans="1:18" ht="15" thickTop="1" x14ac:dyDescent="0.3">
      <c r="A16" s="147">
        <f>EINGABEN!C16</f>
        <v>0</v>
      </c>
      <c r="B16" s="191">
        <f>EINGABEN!E16</f>
        <v>1</v>
      </c>
      <c r="C16" s="148"/>
      <c r="D16" s="148">
        <f t="shared" si="2"/>
        <v>0</v>
      </c>
      <c r="E16" s="148">
        <f t="shared" si="3"/>
        <v>0</v>
      </c>
      <c r="F16" s="149">
        <f>((-LN((C52*(2.71828183^(C54*D16)))^-1)))</f>
        <v>1.2675665668195701</v>
      </c>
      <c r="G16" s="141">
        <f t="shared" si="0"/>
        <v>0</v>
      </c>
      <c r="H16" s="141">
        <f t="shared" si="1"/>
        <v>0</v>
      </c>
      <c r="I16" s="141">
        <f t="shared" si="1"/>
        <v>0</v>
      </c>
      <c r="J16" s="144" t="str">
        <f>IF(EINGABEN!C16="","",EINGABEN!C16)</f>
        <v/>
      </c>
      <c r="K16" s="141" t="str">
        <f t="shared" si="4"/>
        <v/>
      </c>
      <c r="L16" s="143" t="str">
        <f t="shared" si="5"/>
        <v/>
      </c>
      <c r="M16" s="144" t="str">
        <f t="shared" si="6"/>
        <v/>
      </c>
      <c r="N16" s="138"/>
      <c r="O16" s="138"/>
      <c r="P16" s="139"/>
      <c r="Q16" s="186"/>
    </row>
    <row r="17" spans="1:17" x14ac:dyDescent="0.3">
      <c r="A17" s="150">
        <f>EINGABEN!C17</f>
        <v>0</v>
      </c>
      <c r="B17" s="170">
        <f>EINGABEN!E17</f>
        <v>1</v>
      </c>
      <c r="C17" s="106"/>
      <c r="D17" s="106">
        <f t="shared" si="2"/>
        <v>0</v>
      </c>
      <c r="E17" s="106">
        <f t="shared" si="3"/>
        <v>0</v>
      </c>
      <c r="F17" s="151">
        <f>((-LN((C52*(2.71828183^(C54*D17)))^-1)))</f>
        <v>1.2675665668195701</v>
      </c>
      <c r="G17" s="141">
        <f t="shared" si="0"/>
        <v>0</v>
      </c>
      <c r="H17" s="141">
        <f t="shared" si="1"/>
        <v>0</v>
      </c>
      <c r="I17" s="141">
        <f t="shared" si="1"/>
        <v>0</v>
      </c>
      <c r="J17" s="144" t="str">
        <f>IF(EINGABEN!C17="","",EINGABEN!C17)</f>
        <v/>
      </c>
      <c r="K17" s="141" t="str">
        <f t="shared" si="4"/>
        <v/>
      </c>
      <c r="L17" s="143" t="str">
        <f t="shared" si="5"/>
        <v/>
      </c>
      <c r="M17" s="144" t="str">
        <f t="shared" si="6"/>
        <v/>
      </c>
      <c r="N17" s="138"/>
      <c r="O17" s="138"/>
      <c r="P17" s="139"/>
      <c r="Q17" s="186"/>
    </row>
    <row r="18" spans="1:17" x14ac:dyDescent="0.3">
      <c r="A18" s="150">
        <f>EINGABEN!C18</f>
        <v>0</v>
      </c>
      <c r="B18" s="170">
        <f>EINGABEN!E18</f>
        <v>1</v>
      </c>
      <c r="C18" s="106"/>
      <c r="D18" s="106">
        <f t="shared" si="2"/>
        <v>0</v>
      </c>
      <c r="E18" s="106">
        <f t="shared" si="3"/>
        <v>0</v>
      </c>
      <c r="F18" s="151">
        <f>((-LN((C52*(2.71828183^(C54*D18)))^-1)))</f>
        <v>1.2675665668195701</v>
      </c>
      <c r="G18" s="141">
        <f t="shared" si="0"/>
        <v>0</v>
      </c>
      <c r="H18" s="141">
        <f t="shared" si="1"/>
        <v>0</v>
      </c>
      <c r="I18" s="141">
        <f t="shared" si="1"/>
        <v>0</v>
      </c>
      <c r="J18" s="144" t="str">
        <f>IF(EINGABEN!C18="","",EINGABEN!C18)</f>
        <v/>
      </c>
      <c r="K18" s="141" t="str">
        <f t="shared" si="4"/>
        <v/>
      </c>
      <c r="L18" s="143" t="str">
        <f t="shared" si="5"/>
        <v/>
      </c>
      <c r="M18" s="144" t="str">
        <f t="shared" si="6"/>
        <v/>
      </c>
      <c r="N18" s="138"/>
      <c r="O18" s="138"/>
      <c r="P18" s="139"/>
      <c r="Q18" s="186"/>
    </row>
    <row r="19" spans="1:17" x14ac:dyDescent="0.3">
      <c r="A19" s="150">
        <f>EINGABEN!C19</f>
        <v>0</v>
      </c>
      <c r="B19" s="170">
        <f>EINGABEN!E19</f>
        <v>1</v>
      </c>
      <c r="C19" s="106"/>
      <c r="D19" s="106">
        <f t="shared" si="2"/>
        <v>0</v>
      </c>
      <c r="E19" s="106">
        <f t="shared" si="3"/>
        <v>0</v>
      </c>
      <c r="F19" s="151">
        <f>((-LN((C52*(2.71828183^(C54*D19)))^-1)))</f>
        <v>1.2675665668195701</v>
      </c>
      <c r="G19" s="141">
        <f t="shared" si="0"/>
        <v>0</v>
      </c>
      <c r="H19" s="141">
        <f t="shared" si="1"/>
        <v>0</v>
      </c>
      <c r="I19" s="141">
        <f t="shared" si="1"/>
        <v>0</v>
      </c>
      <c r="J19" s="144" t="str">
        <f>IF(EINGABEN!C19="","",EINGABEN!C19)</f>
        <v/>
      </c>
      <c r="K19" s="141" t="str">
        <f t="shared" si="4"/>
        <v/>
      </c>
      <c r="L19" s="143" t="str">
        <f t="shared" si="5"/>
        <v/>
      </c>
      <c r="M19" s="144" t="str">
        <f t="shared" si="6"/>
        <v/>
      </c>
      <c r="N19" s="138"/>
      <c r="O19" s="138"/>
      <c r="P19" s="139"/>
      <c r="Q19" s="186"/>
    </row>
    <row r="20" spans="1:17" x14ac:dyDescent="0.3">
      <c r="A20" s="150">
        <f>EINGABEN!C20</f>
        <v>0</v>
      </c>
      <c r="B20" s="170">
        <f>EINGABEN!E20</f>
        <v>1</v>
      </c>
      <c r="C20" s="106"/>
      <c r="D20" s="106">
        <f t="shared" si="2"/>
        <v>0</v>
      </c>
      <c r="E20" s="106">
        <f t="shared" si="3"/>
        <v>0</v>
      </c>
      <c r="F20" s="151">
        <f>((-LN((C52*(2.71828183^(C54*D20)))^-1)))</f>
        <v>1.2675665668195701</v>
      </c>
      <c r="G20" s="141">
        <f t="shared" si="0"/>
        <v>0</v>
      </c>
      <c r="H20" s="141">
        <f t="shared" si="1"/>
        <v>0</v>
      </c>
      <c r="I20" s="141">
        <f t="shared" si="1"/>
        <v>0</v>
      </c>
      <c r="J20" s="144" t="str">
        <f>IF(EINGABEN!C20="","",EINGABEN!C20)</f>
        <v/>
      </c>
      <c r="K20" s="141" t="str">
        <f t="shared" si="4"/>
        <v/>
      </c>
      <c r="L20" s="143" t="str">
        <f t="shared" si="5"/>
        <v/>
      </c>
      <c r="M20" s="144" t="str">
        <f t="shared" si="6"/>
        <v/>
      </c>
      <c r="N20" s="138"/>
      <c r="O20" s="138"/>
      <c r="P20" s="139"/>
      <c r="Q20" s="186"/>
    </row>
    <row r="21" spans="1:17" x14ac:dyDescent="0.3">
      <c r="A21" s="150">
        <f>EINGABEN!C21</f>
        <v>0</v>
      </c>
      <c r="B21" s="170">
        <f>EINGABEN!E21</f>
        <v>1</v>
      </c>
      <c r="C21" s="106"/>
      <c r="D21" s="106">
        <f t="shared" si="2"/>
        <v>0</v>
      </c>
      <c r="E21" s="106">
        <f t="shared" si="3"/>
        <v>0</v>
      </c>
      <c r="F21" s="151">
        <f>((-LN((C52*(2.71828183^(C54*D21)))^-1)))</f>
        <v>1.2675665668195701</v>
      </c>
      <c r="G21" s="141">
        <f t="shared" si="0"/>
        <v>0</v>
      </c>
      <c r="H21" s="141">
        <f t="shared" si="1"/>
        <v>0</v>
      </c>
      <c r="I21" s="141">
        <f t="shared" si="1"/>
        <v>0</v>
      </c>
      <c r="J21" s="144" t="str">
        <f>IF(EINGABEN!C21="","",EINGABEN!C21)</f>
        <v/>
      </c>
      <c r="K21" s="141" t="str">
        <f t="shared" si="4"/>
        <v/>
      </c>
      <c r="L21" s="143" t="str">
        <f t="shared" si="5"/>
        <v/>
      </c>
      <c r="M21" s="144" t="str">
        <f t="shared" si="6"/>
        <v/>
      </c>
      <c r="N21" s="138"/>
      <c r="O21" s="138"/>
      <c r="P21" s="139"/>
      <c r="Q21" s="186"/>
    </row>
    <row r="22" spans="1:17" x14ac:dyDescent="0.3">
      <c r="A22" s="150">
        <f>EINGABEN!C22</f>
        <v>0</v>
      </c>
      <c r="B22" s="170">
        <f>EINGABEN!E22</f>
        <v>1</v>
      </c>
      <c r="C22" s="106"/>
      <c r="D22" s="106">
        <f t="shared" si="2"/>
        <v>0</v>
      </c>
      <c r="E22" s="106">
        <f t="shared" si="3"/>
        <v>0</v>
      </c>
      <c r="F22" s="151">
        <f>((-LN((C52*(2.71828183^(C54*D22)))^-1)))</f>
        <v>1.2675665668195701</v>
      </c>
      <c r="G22" s="141">
        <f t="shared" si="0"/>
        <v>0</v>
      </c>
      <c r="H22" s="141">
        <f t="shared" si="1"/>
        <v>0</v>
      </c>
      <c r="I22" s="141">
        <f t="shared" si="1"/>
        <v>0</v>
      </c>
      <c r="J22" s="144" t="str">
        <f>IF(EINGABEN!C22="","",EINGABEN!C22)</f>
        <v/>
      </c>
      <c r="K22" s="141" t="str">
        <f t="shared" si="4"/>
        <v/>
      </c>
      <c r="L22" s="143" t="str">
        <f t="shared" si="5"/>
        <v/>
      </c>
      <c r="M22" s="144" t="str">
        <f t="shared" si="6"/>
        <v/>
      </c>
      <c r="N22" s="138"/>
      <c r="O22" s="138"/>
      <c r="P22" s="139"/>
      <c r="Q22" s="186"/>
    </row>
    <row r="23" spans="1:17" x14ac:dyDescent="0.3">
      <c r="A23" s="150">
        <f>EINGABEN!C23</f>
        <v>0</v>
      </c>
      <c r="B23" s="170">
        <f>EINGABEN!E23</f>
        <v>1</v>
      </c>
      <c r="C23" s="106"/>
      <c r="D23" s="106">
        <f t="shared" si="2"/>
        <v>0</v>
      </c>
      <c r="E23" s="106">
        <f t="shared" si="3"/>
        <v>0</v>
      </c>
      <c r="F23" s="151">
        <f>((-LN((C52*(2.71828183^(C54*D23)))^-1)))</f>
        <v>1.2675665668195701</v>
      </c>
      <c r="G23" s="141">
        <f t="shared" si="0"/>
        <v>0</v>
      </c>
      <c r="H23" s="141">
        <f t="shared" si="1"/>
        <v>0</v>
      </c>
      <c r="I23" s="141">
        <f t="shared" si="1"/>
        <v>0</v>
      </c>
      <c r="J23" s="144" t="str">
        <f>IF(EINGABEN!C23="","",EINGABEN!C23)</f>
        <v/>
      </c>
      <c r="K23" s="141" t="str">
        <f t="shared" si="4"/>
        <v/>
      </c>
      <c r="L23" s="143" t="str">
        <f t="shared" si="5"/>
        <v/>
      </c>
      <c r="M23" s="144" t="str">
        <f t="shared" si="6"/>
        <v/>
      </c>
      <c r="N23" s="138"/>
      <c r="O23" s="138"/>
      <c r="P23" s="139"/>
      <c r="Q23" s="186"/>
    </row>
    <row r="24" spans="1:17" x14ac:dyDescent="0.3">
      <c r="A24" s="150">
        <f>EINGABEN!C24</f>
        <v>0</v>
      </c>
      <c r="B24" s="170">
        <f>EINGABEN!E24</f>
        <v>1</v>
      </c>
      <c r="C24" s="106"/>
      <c r="D24" s="106">
        <f t="shared" si="2"/>
        <v>0</v>
      </c>
      <c r="E24" s="106">
        <f t="shared" si="3"/>
        <v>0</v>
      </c>
      <c r="F24" s="151">
        <f>((-LN((C52*(2.71828183^(C54*D24)))^-1)))</f>
        <v>1.2675665668195701</v>
      </c>
      <c r="G24" s="141">
        <f t="shared" si="0"/>
        <v>0</v>
      </c>
      <c r="H24" s="141">
        <f t="shared" si="1"/>
        <v>0</v>
      </c>
      <c r="I24" s="141">
        <f t="shared" si="1"/>
        <v>0</v>
      </c>
      <c r="J24" s="144" t="str">
        <f>IF(EINGABEN!C24="","",EINGABEN!C24)</f>
        <v/>
      </c>
      <c r="K24" s="141" t="str">
        <f t="shared" si="4"/>
        <v/>
      </c>
      <c r="L24" s="143" t="str">
        <f t="shared" si="5"/>
        <v/>
      </c>
      <c r="M24" s="144" t="str">
        <f t="shared" si="6"/>
        <v/>
      </c>
      <c r="N24" s="138"/>
      <c r="O24" s="138"/>
      <c r="P24" s="139"/>
      <c r="Q24" s="186"/>
    </row>
    <row r="25" spans="1:17" x14ac:dyDescent="0.3">
      <c r="A25" s="150">
        <f>EINGABEN!C25</f>
        <v>0</v>
      </c>
      <c r="B25" s="170">
        <f>EINGABEN!E25</f>
        <v>1</v>
      </c>
      <c r="C25" s="106"/>
      <c r="D25" s="106">
        <f t="shared" si="2"/>
        <v>0</v>
      </c>
      <c r="E25" s="106">
        <f t="shared" si="3"/>
        <v>0</v>
      </c>
      <c r="F25" s="151">
        <f>((-LN((C52*(2.71828183^(C54*D25)))^-1)))</f>
        <v>1.2675665668195701</v>
      </c>
      <c r="G25" s="141">
        <f t="shared" si="0"/>
        <v>0</v>
      </c>
      <c r="H25" s="141">
        <f t="shared" si="1"/>
        <v>0</v>
      </c>
      <c r="I25" s="141">
        <f t="shared" si="1"/>
        <v>0</v>
      </c>
      <c r="J25" s="144" t="str">
        <f>IF(EINGABEN!C25="","",EINGABEN!C25)</f>
        <v/>
      </c>
      <c r="K25" s="141" t="str">
        <f t="shared" si="4"/>
        <v/>
      </c>
      <c r="L25" s="143" t="str">
        <f t="shared" si="5"/>
        <v/>
      </c>
      <c r="M25" s="144" t="str">
        <f t="shared" si="6"/>
        <v/>
      </c>
      <c r="N25" s="138"/>
      <c r="O25" s="138"/>
      <c r="P25" s="139"/>
      <c r="Q25" s="186"/>
    </row>
    <row r="26" spans="1:17" x14ac:dyDescent="0.3">
      <c r="A26" s="150">
        <f>EINGABEN!C26</f>
        <v>0</v>
      </c>
      <c r="B26" s="170">
        <f>EINGABEN!E26</f>
        <v>1</v>
      </c>
      <c r="C26" s="106"/>
      <c r="D26" s="106">
        <f t="shared" si="2"/>
        <v>0</v>
      </c>
      <c r="E26" s="106">
        <f t="shared" si="3"/>
        <v>0</v>
      </c>
      <c r="F26" s="151">
        <f>((-LN((C52*(2.71828183^(C54*D26)))^-1)))</f>
        <v>1.2675665668195701</v>
      </c>
      <c r="G26" s="141">
        <f t="shared" si="0"/>
        <v>0</v>
      </c>
      <c r="H26" s="141">
        <f t="shared" si="1"/>
        <v>0</v>
      </c>
      <c r="I26" s="141">
        <f t="shared" si="1"/>
        <v>0</v>
      </c>
      <c r="J26" s="144" t="str">
        <f>IF(EINGABEN!C26="","",EINGABEN!C26)</f>
        <v/>
      </c>
      <c r="K26" s="141" t="str">
        <f t="shared" si="4"/>
        <v/>
      </c>
      <c r="L26" s="143" t="str">
        <f t="shared" si="5"/>
        <v/>
      </c>
      <c r="M26" s="144" t="str">
        <f t="shared" si="6"/>
        <v/>
      </c>
      <c r="N26" s="138"/>
      <c r="O26" s="138"/>
      <c r="P26" s="139"/>
      <c r="Q26" s="186"/>
    </row>
    <row r="27" spans="1:17" x14ac:dyDescent="0.3">
      <c r="A27" s="150">
        <f>EINGABEN!C27</f>
        <v>0</v>
      </c>
      <c r="B27" s="170">
        <f>EINGABEN!E27</f>
        <v>1</v>
      </c>
      <c r="C27" s="106"/>
      <c r="D27" s="106">
        <f t="shared" si="2"/>
        <v>0</v>
      </c>
      <c r="E27" s="106">
        <f t="shared" si="3"/>
        <v>0</v>
      </c>
      <c r="F27" s="151">
        <f>((-LN((C52*(2.71828183^(C54*D27)))^-1)))</f>
        <v>1.2675665668195701</v>
      </c>
      <c r="G27" s="141">
        <f t="shared" si="0"/>
        <v>0</v>
      </c>
      <c r="H27" s="141">
        <f t="shared" si="1"/>
        <v>0</v>
      </c>
      <c r="I27" s="141">
        <f t="shared" si="1"/>
        <v>0</v>
      </c>
      <c r="J27" s="144" t="str">
        <f>IF(EINGABEN!C27="","",EINGABEN!C27)</f>
        <v/>
      </c>
      <c r="K27" s="141" t="str">
        <f t="shared" si="4"/>
        <v/>
      </c>
      <c r="L27" s="143" t="str">
        <f t="shared" si="5"/>
        <v/>
      </c>
      <c r="M27" s="144" t="str">
        <f t="shared" si="6"/>
        <v/>
      </c>
      <c r="N27" s="138"/>
      <c r="O27" s="138"/>
      <c r="P27" s="139"/>
      <c r="Q27" s="186"/>
    </row>
    <row r="28" spans="1:17" x14ac:dyDescent="0.3">
      <c r="A28" s="150">
        <f>EINGABEN!C28</f>
        <v>0</v>
      </c>
      <c r="B28" s="170">
        <f>EINGABEN!E28</f>
        <v>1</v>
      </c>
      <c r="C28" s="106"/>
      <c r="D28" s="106">
        <f t="shared" si="2"/>
        <v>0</v>
      </c>
      <c r="E28" s="106">
        <f t="shared" si="3"/>
        <v>0</v>
      </c>
      <c r="F28" s="151">
        <f>((-LN((C52*(2.71828183^(C54*D28)))^-1)))</f>
        <v>1.2675665668195701</v>
      </c>
      <c r="G28" s="141">
        <f t="shared" si="0"/>
        <v>0</v>
      </c>
      <c r="H28" s="141">
        <f t="shared" si="1"/>
        <v>0</v>
      </c>
      <c r="I28" s="141">
        <f t="shared" si="1"/>
        <v>0</v>
      </c>
      <c r="J28" s="219" t="str">
        <f>IF(EINGABEN!C28="","",EINGABEN!C28)</f>
        <v/>
      </c>
      <c r="K28" s="141" t="str">
        <f t="shared" si="4"/>
        <v/>
      </c>
      <c r="L28" s="143" t="str">
        <f t="shared" si="5"/>
        <v/>
      </c>
      <c r="M28" s="219" t="str">
        <f t="shared" si="6"/>
        <v/>
      </c>
      <c r="N28" s="139"/>
      <c r="O28" s="138"/>
      <c r="P28" s="139"/>
      <c r="Q28" s="186"/>
    </row>
    <row r="29" spans="1:17" x14ac:dyDescent="0.3">
      <c r="A29" s="150">
        <f>EINGABEN!C29</f>
        <v>0</v>
      </c>
      <c r="B29" s="170">
        <f>EINGABEN!E29</f>
        <v>1</v>
      </c>
      <c r="C29" s="106"/>
      <c r="D29" s="106">
        <f t="shared" si="2"/>
        <v>0</v>
      </c>
      <c r="E29" s="106">
        <f t="shared" si="3"/>
        <v>0</v>
      </c>
      <c r="F29" s="151">
        <f>((-LN((C52*(2.71828183^(C54*D29)))^-1)))</f>
        <v>1.2675665668195701</v>
      </c>
      <c r="G29" s="141">
        <f t="shared" si="0"/>
        <v>0</v>
      </c>
      <c r="H29" s="141">
        <f t="shared" si="1"/>
        <v>0</v>
      </c>
      <c r="I29" s="141">
        <f t="shared" si="1"/>
        <v>0</v>
      </c>
      <c r="J29" s="219" t="str">
        <f>IF(EINGABEN!C29="","",EINGABEN!C29)</f>
        <v/>
      </c>
      <c r="K29" s="141" t="str">
        <f t="shared" si="4"/>
        <v/>
      </c>
      <c r="L29" s="143" t="str">
        <f t="shared" si="5"/>
        <v/>
      </c>
      <c r="M29" s="219" t="str">
        <f t="shared" si="6"/>
        <v/>
      </c>
      <c r="N29" s="139"/>
      <c r="O29" s="138"/>
      <c r="P29" s="139"/>
      <c r="Q29" s="186"/>
    </row>
    <row r="30" spans="1:17" x14ac:dyDescent="0.3">
      <c r="A30" s="150">
        <f>EINGABEN!C30</f>
        <v>0</v>
      </c>
      <c r="B30" s="170">
        <f>EINGABEN!E30</f>
        <v>1</v>
      </c>
      <c r="C30" s="106"/>
      <c r="D30" s="106">
        <f t="shared" si="2"/>
        <v>0</v>
      </c>
      <c r="E30" s="106">
        <f t="shared" si="3"/>
        <v>0</v>
      </c>
      <c r="F30" s="151">
        <f>((-LN((C52*(2.71828183^(C54*D30)))^-1)))</f>
        <v>1.2675665668195701</v>
      </c>
      <c r="G30" s="141">
        <f t="shared" si="0"/>
        <v>0</v>
      </c>
      <c r="H30" s="141">
        <f t="shared" si="1"/>
        <v>0</v>
      </c>
      <c r="I30" s="141">
        <f t="shared" si="1"/>
        <v>0</v>
      </c>
      <c r="J30" s="219" t="str">
        <f>IF(EINGABEN!C30="","",EINGABEN!C30)</f>
        <v/>
      </c>
      <c r="K30" s="141" t="str">
        <f t="shared" si="4"/>
        <v/>
      </c>
      <c r="L30" s="143" t="str">
        <f t="shared" si="5"/>
        <v/>
      </c>
      <c r="M30" s="219" t="str">
        <f t="shared" si="6"/>
        <v/>
      </c>
      <c r="N30" s="139"/>
      <c r="O30" s="138"/>
      <c r="P30" s="139"/>
      <c r="Q30" s="186"/>
    </row>
    <row r="31" spans="1:17" x14ac:dyDescent="0.3">
      <c r="A31" s="150">
        <f>EINGABEN!C31</f>
        <v>0</v>
      </c>
      <c r="B31" s="170">
        <f>EINGABEN!E31</f>
        <v>1</v>
      </c>
      <c r="C31" s="106"/>
      <c r="D31" s="106">
        <f t="shared" si="2"/>
        <v>0</v>
      </c>
      <c r="E31" s="106">
        <f t="shared" si="3"/>
        <v>0</v>
      </c>
      <c r="F31" s="151">
        <f>((-LN((C52*(2.71828183^(C54*D31)))^-1)))</f>
        <v>1.2675665668195701</v>
      </c>
      <c r="G31" s="141">
        <f t="shared" si="0"/>
        <v>0</v>
      </c>
      <c r="H31" s="141">
        <f t="shared" si="1"/>
        <v>0</v>
      </c>
      <c r="I31" s="141">
        <f t="shared" si="1"/>
        <v>0</v>
      </c>
      <c r="J31" s="219" t="str">
        <f>IF(EINGABEN!C31="","",EINGABEN!C31)</f>
        <v/>
      </c>
      <c r="K31" s="141" t="str">
        <f t="shared" si="4"/>
        <v/>
      </c>
      <c r="L31" s="143" t="str">
        <f t="shared" si="5"/>
        <v/>
      </c>
      <c r="M31" s="219" t="str">
        <f t="shared" si="6"/>
        <v/>
      </c>
      <c r="N31" s="139"/>
      <c r="O31" s="138"/>
      <c r="P31" s="139"/>
      <c r="Q31" s="186"/>
    </row>
    <row r="32" spans="1:17" x14ac:dyDescent="0.3">
      <c r="A32" s="150">
        <f>EINGABEN!C32</f>
        <v>0</v>
      </c>
      <c r="B32" s="170">
        <f>EINGABEN!E32</f>
        <v>1</v>
      </c>
      <c r="C32" s="106"/>
      <c r="D32" s="106">
        <f t="shared" si="2"/>
        <v>0</v>
      </c>
      <c r="E32" s="106">
        <f t="shared" si="3"/>
        <v>0</v>
      </c>
      <c r="F32" s="151">
        <f>((-LN((C52*(2.71828183^(C54*D32)))^-1)))</f>
        <v>1.2675665668195701</v>
      </c>
      <c r="G32" s="141">
        <f t="shared" si="0"/>
        <v>0</v>
      </c>
      <c r="H32" s="141">
        <f t="shared" si="1"/>
        <v>0</v>
      </c>
      <c r="I32" s="141">
        <f t="shared" si="1"/>
        <v>0</v>
      </c>
      <c r="J32" s="219" t="str">
        <f>IF(EINGABEN!C32="","",EINGABEN!C32)</f>
        <v/>
      </c>
      <c r="K32" s="141" t="str">
        <f t="shared" si="4"/>
        <v/>
      </c>
      <c r="L32" s="143" t="str">
        <f t="shared" si="5"/>
        <v/>
      </c>
      <c r="M32" s="219" t="str">
        <f t="shared" si="6"/>
        <v/>
      </c>
      <c r="N32" s="139"/>
      <c r="O32" s="138"/>
      <c r="P32" s="139"/>
      <c r="Q32" s="186"/>
    </row>
    <row r="33" spans="1:17" x14ac:dyDescent="0.3">
      <c r="A33" s="150">
        <f>EINGABEN!C33</f>
        <v>0</v>
      </c>
      <c r="B33" s="170">
        <f>EINGABEN!E33</f>
        <v>1</v>
      </c>
      <c r="C33" s="106"/>
      <c r="D33" s="106">
        <f t="shared" si="2"/>
        <v>0</v>
      </c>
      <c r="E33" s="106">
        <f t="shared" si="3"/>
        <v>0</v>
      </c>
      <c r="F33" s="151">
        <f>((-LN((C52*(2.71828183^(C54*D33)))^-1)))</f>
        <v>1.2675665668195701</v>
      </c>
      <c r="G33" s="141">
        <f t="shared" si="0"/>
        <v>0</v>
      </c>
      <c r="H33" s="141">
        <f t="shared" si="1"/>
        <v>0</v>
      </c>
      <c r="I33" s="141">
        <f t="shared" si="1"/>
        <v>0</v>
      </c>
      <c r="J33" s="219" t="str">
        <f>IF(EINGABEN!C33="","",EINGABEN!C33)</f>
        <v/>
      </c>
      <c r="K33" s="141" t="str">
        <f t="shared" si="4"/>
        <v/>
      </c>
      <c r="L33" s="143" t="str">
        <f t="shared" si="5"/>
        <v/>
      </c>
      <c r="M33" s="219" t="str">
        <f t="shared" si="6"/>
        <v/>
      </c>
      <c r="N33" s="139"/>
      <c r="O33" s="138"/>
      <c r="P33" s="139"/>
      <c r="Q33" s="186"/>
    </row>
    <row r="34" spans="1:17" x14ac:dyDescent="0.3">
      <c r="A34" s="150">
        <f>EINGABEN!C34</f>
        <v>0</v>
      </c>
      <c r="B34" s="170">
        <f>EINGABEN!E34</f>
        <v>1</v>
      </c>
      <c r="C34" s="106"/>
      <c r="D34" s="106">
        <f t="shared" si="2"/>
        <v>0</v>
      </c>
      <c r="E34" s="106">
        <f t="shared" si="3"/>
        <v>0</v>
      </c>
      <c r="F34" s="151">
        <f>((-LN((C52*(2.71828183^(C54*D34)))^-1)))</f>
        <v>1.2675665668195701</v>
      </c>
      <c r="G34" s="141">
        <f t="shared" si="0"/>
        <v>0</v>
      </c>
      <c r="H34" s="141">
        <f t="shared" si="1"/>
        <v>0</v>
      </c>
      <c r="I34" s="141">
        <f t="shared" si="1"/>
        <v>0</v>
      </c>
      <c r="J34" s="219" t="str">
        <f>IF(EINGABEN!C34="","",EINGABEN!C34)</f>
        <v/>
      </c>
      <c r="K34" s="141" t="str">
        <f t="shared" si="4"/>
        <v/>
      </c>
      <c r="L34" s="143" t="str">
        <f t="shared" si="5"/>
        <v/>
      </c>
      <c r="M34" s="219" t="str">
        <f t="shared" si="6"/>
        <v/>
      </c>
      <c r="N34" s="139"/>
      <c r="O34" s="138"/>
      <c r="P34" s="139"/>
      <c r="Q34" s="186"/>
    </row>
    <row r="35" spans="1:17" x14ac:dyDescent="0.3">
      <c r="A35" s="150">
        <f>EINGABEN!C35</f>
        <v>0</v>
      </c>
      <c r="B35" s="170">
        <f>EINGABEN!E35</f>
        <v>1</v>
      </c>
      <c r="C35" s="106"/>
      <c r="D35" s="106">
        <f t="shared" si="2"/>
        <v>0</v>
      </c>
      <c r="E35" s="106">
        <f t="shared" si="3"/>
        <v>0</v>
      </c>
      <c r="F35" s="151">
        <f>((-LN((C52*(2.71828183^(C54*D35)))^-1)))</f>
        <v>1.2675665668195701</v>
      </c>
      <c r="G35" s="141">
        <f t="shared" si="0"/>
        <v>0</v>
      </c>
      <c r="H35" s="141">
        <f t="shared" si="1"/>
        <v>0</v>
      </c>
      <c r="I35" s="141">
        <f t="shared" si="1"/>
        <v>0</v>
      </c>
      <c r="J35" s="219" t="str">
        <f>IF(EINGABEN!C35="","",EINGABEN!C35)</f>
        <v/>
      </c>
      <c r="K35" s="141" t="str">
        <f t="shared" si="4"/>
        <v/>
      </c>
      <c r="L35" s="143" t="str">
        <f t="shared" si="5"/>
        <v/>
      </c>
      <c r="M35" s="219" t="str">
        <f t="shared" si="6"/>
        <v/>
      </c>
      <c r="N35" s="139"/>
      <c r="O35" s="138"/>
      <c r="P35" s="139"/>
      <c r="Q35" s="186"/>
    </row>
    <row r="36" spans="1:17" x14ac:dyDescent="0.3">
      <c r="A36" s="150">
        <f>EINGABEN!C36</f>
        <v>0</v>
      </c>
      <c r="B36" s="170">
        <f>EINGABEN!E36</f>
        <v>1</v>
      </c>
      <c r="C36" s="106"/>
      <c r="D36" s="106">
        <f t="shared" si="2"/>
        <v>0</v>
      </c>
      <c r="E36" s="106">
        <f t="shared" si="3"/>
        <v>0</v>
      </c>
      <c r="F36" s="151">
        <f>((-LN((C52*(2.71828183^(C54*D36)))^-1)))</f>
        <v>1.2675665668195701</v>
      </c>
      <c r="G36" s="141">
        <f t="shared" si="0"/>
        <v>0</v>
      </c>
      <c r="H36" s="141">
        <f t="shared" si="1"/>
        <v>0</v>
      </c>
      <c r="I36" s="141">
        <f t="shared" si="1"/>
        <v>0</v>
      </c>
      <c r="J36" s="219" t="str">
        <f>IF(EINGABEN!C36="","",EINGABEN!C36)</f>
        <v/>
      </c>
      <c r="K36" s="141" t="str">
        <f t="shared" si="4"/>
        <v/>
      </c>
      <c r="L36" s="143" t="str">
        <f t="shared" si="5"/>
        <v/>
      </c>
      <c r="M36" s="219" t="str">
        <f t="shared" si="6"/>
        <v/>
      </c>
      <c r="N36" s="139"/>
      <c r="O36" s="138"/>
      <c r="P36" s="139"/>
      <c r="Q36" s="186"/>
    </row>
    <row r="37" spans="1:17" x14ac:dyDescent="0.3">
      <c r="A37" s="150">
        <f>EINGABEN!C37</f>
        <v>0</v>
      </c>
      <c r="B37" s="170">
        <f>EINGABEN!E37</f>
        <v>1</v>
      </c>
      <c r="C37" s="106"/>
      <c r="D37" s="106">
        <f t="shared" si="2"/>
        <v>0</v>
      </c>
      <c r="E37" s="106">
        <f t="shared" si="3"/>
        <v>0</v>
      </c>
      <c r="F37" s="151">
        <f>((-LN((C52*(2.71828183^(C54*D37)))^-1)))</f>
        <v>1.2675665668195701</v>
      </c>
      <c r="G37" s="141">
        <f t="shared" si="0"/>
        <v>0</v>
      </c>
      <c r="H37" s="141">
        <f t="shared" si="1"/>
        <v>0</v>
      </c>
      <c r="I37" s="141">
        <f t="shared" si="1"/>
        <v>0</v>
      </c>
      <c r="J37" s="219" t="str">
        <f>IF(EINGABEN!C37="","",EINGABEN!C37)</f>
        <v/>
      </c>
      <c r="K37" s="141" t="str">
        <f t="shared" si="4"/>
        <v/>
      </c>
      <c r="L37" s="143" t="str">
        <f t="shared" si="5"/>
        <v/>
      </c>
      <c r="M37" s="219" t="str">
        <f t="shared" si="6"/>
        <v/>
      </c>
      <c r="N37" s="139"/>
      <c r="O37" s="138"/>
      <c r="P37" s="139"/>
      <c r="Q37" s="186"/>
    </row>
    <row r="38" spans="1:17" x14ac:dyDescent="0.3">
      <c r="A38" s="150">
        <f>EINGABEN!C38</f>
        <v>0</v>
      </c>
      <c r="B38" s="170">
        <f>EINGABEN!E38</f>
        <v>1</v>
      </c>
      <c r="C38" s="106"/>
      <c r="D38" s="106">
        <f t="shared" si="2"/>
        <v>0</v>
      </c>
      <c r="E38" s="106">
        <f t="shared" si="3"/>
        <v>0</v>
      </c>
      <c r="F38" s="151">
        <f>((-LN((C52*(2.71828183^(C54*D38)))^-1)))</f>
        <v>1.2675665668195701</v>
      </c>
      <c r="G38" s="141">
        <f t="shared" si="0"/>
        <v>0</v>
      </c>
      <c r="H38" s="141">
        <f t="shared" si="1"/>
        <v>0</v>
      </c>
      <c r="I38" s="141">
        <f t="shared" si="1"/>
        <v>0</v>
      </c>
      <c r="J38" s="219" t="str">
        <f>IF(EINGABEN!C38="","",EINGABEN!C38)</f>
        <v/>
      </c>
      <c r="K38" s="141" t="str">
        <f t="shared" si="4"/>
        <v/>
      </c>
      <c r="L38" s="143" t="str">
        <f t="shared" si="5"/>
        <v/>
      </c>
      <c r="M38" s="219" t="str">
        <f t="shared" si="6"/>
        <v/>
      </c>
      <c r="N38" s="139"/>
      <c r="O38" s="138"/>
      <c r="P38" s="139"/>
      <c r="Q38" s="186"/>
    </row>
    <row r="39" spans="1:17" x14ac:dyDescent="0.3">
      <c r="A39" s="150">
        <f>EINGABEN!C39</f>
        <v>0</v>
      </c>
      <c r="B39" s="170">
        <f>EINGABEN!E39</f>
        <v>1</v>
      </c>
      <c r="C39" s="106"/>
      <c r="D39" s="106">
        <f t="shared" si="2"/>
        <v>0</v>
      </c>
      <c r="E39" s="106">
        <f t="shared" si="3"/>
        <v>0</v>
      </c>
      <c r="F39" s="151">
        <f>((-LN((C52*(2.71828183^(C54*D39)))^-1)))</f>
        <v>1.2675665668195701</v>
      </c>
      <c r="G39" s="141">
        <f t="shared" si="0"/>
        <v>0</v>
      </c>
      <c r="H39" s="141">
        <f t="shared" si="1"/>
        <v>0</v>
      </c>
      <c r="I39" s="141">
        <f t="shared" si="1"/>
        <v>0</v>
      </c>
      <c r="J39" s="219" t="str">
        <f>IF(EINGABEN!C39="","",EINGABEN!C39)</f>
        <v/>
      </c>
      <c r="K39" s="141" t="str">
        <f t="shared" si="4"/>
        <v/>
      </c>
      <c r="L39" s="143" t="str">
        <f t="shared" si="5"/>
        <v/>
      </c>
      <c r="M39" s="219" t="str">
        <f t="shared" si="6"/>
        <v/>
      </c>
      <c r="N39" s="139"/>
      <c r="O39" s="138"/>
      <c r="P39" s="139"/>
      <c r="Q39" s="186"/>
    </row>
    <row r="40" spans="1:17" x14ac:dyDescent="0.3">
      <c r="A40" s="150">
        <f>EINGABEN!C40</f>
        <v>0</v>
      </c>
      <c r="B40" s="170">
        <f>EINGABEN!E40</f>
        <v>1</v>
      </c>
      <c r="C40" s="106"/>
      <c r="D40" s="106">
        <f t="shared" si="2"/>
        <v>0</v>
      </c>
      <c r="E40" s="106">
        <f t="shared" si="3"/>
        <v>0</v>
      </c>
      <c r="F40" s="151">
        <f>((-LN((C52*(2.71828183^(C54*D40)))^-1)))</f>
        <v>1.2675665668195701</v>
      </c>
      <c r="G40" s="141">
        <f t="shared" si="0"/>
        <v>0</v>
      </c>
      <c r="H40" s="141">
        <f t="shared" si="1"/>
        <v>0</v>
      </c>
      <c r="I40" s="141">
        <f t="shared" si="1"/>
        <v>0</v>
      </c>
      <c r="J40" s="219" t="str">
        <f>IF(EINGABEN!C40="","",EINGABEN!C40)</f>
        <v/>
      </c>
      <c r="K40" s="141" t="str">
        <f t="shared" si="4"/>
        <v/>
      </c>
      <c r="L40" s="143" t="str">
        <f t="shared" si="5"/>
        <v/>
      </c>
      <c r="M40" s="219" t="str">
        <f t="shared" si="6"/>
        <v/>
      </c>
      <c r="N40" s="139"/>
      <c r="O40" s="138"/>
      <c r="P40" s="139"/>
      <c r="Q40" s="186"/>
    </row>
    <row r="41" spans="1:17" x14ac:dyDescent="0.3">
      <c r="A41" s="150">
        <f>EINGABEN!C41</f>
        <v>0</v>
      </c>
      <c r="B41" s="170">
        <f>EINGABEN!E41</f>
        <v>1</v>
      </c>
      <c r="C41" s="106"/>
      <c r="D41" s="106">
        <f t="shared" si="2"/>
        <v>0</v>
      </c>
      <c r="E41" s="106">
        <f t="shared" si="3"/>
        <v>0</v>
      </c>
      <c r="F41" s="151">
        <f>((-LN((C52*(2.71828183^(C54*D41)))^-1)))</f>
        <v>1.2675665668195701</v>
      </c>
      <c r="G41" s="141">
        <f t="shared" si="0"/>
        <v>0</v>
      </c>
      <c r="H41" s="141">
        <f t="shared" si="1"/>
        <v>0</v>
      </c>
      <c r="I41" s="141">
        <f t="shared" si="1"/>
        <v>0</v>
      </c>
      <c r="J41" s="219" t="str">
        <f>IF(EINGABEN!C41="","",EINGABEN!C41)</f>
        <v/>
      </c>
      <c r="K41" s="141" t="str">
        <f t="shared" si="4"/>
        <v/>
      </c>
      <c r="L41" s="143" t="str">
        <f t="shared" si="5"/>
        <v/>
      </c>
      <c r="M41" s="219" t="str">
        <f t="shared" si="6"/>
        <v/>
      </c>
      <c r="N41" s="139"/>
      <c r="O41" s="144"/>
      <c r="P41" s="139"/>
      <c r="Q41" s="186"/>
    </row>
    <row r="42" spans="1:17" x14ac:dyDescent="0.3">
      <c r="A42" s="150">
        <f>EINGABEN!C42</f>
        <v>0</v>
      </c>
      <c r="B42" s="170">
        <f>EINGABEN!E42</f>
        <v>1</v>
      </c>
      <c r="C42" s="106"/>
      <c r="D42" s="106">
        <f t="shared" si="2"/>
        <v>0</v>
      </c>
      <c r="E42" s="106">
        <f t="shared" si="3"/>
        <v>0</v>
      </c>
      <c r="F42" s="151">
        <f>((-LN((C52*(2.71828183^(C54*D42)))^-1)))</f>
        <v>1.2675665668195701</v>
      </c>
      <c r="G42" s="141">
        <f t="shared" si="0"/>
        <v>0</v>
      </c>
      <c r="H42" s="141">
        <f t="shared" si="1"/>
        <v>0</v>
      </c>
      <c r="I42" s="141">
        <f t="shared" si="1"/>
        <v>0</v>
      </c>
      <c r="J42" s="219" t="str">
        <f>IF(EINGABEN!C42="","",EINGABEN!C42)</f>
        <v/>
      </c>
      <c r="K42" s="141" t="str">
        <f t="shared" si="4"/>
        <v/>
      </c>
      <c r="L42" s="143" t="str">
        <f t="shared" si="5"/>
        <v/>
      </c>
      <c r="M42" s="219" t="str">
        <f t="shared" si="6"/>
        <v/>
      </c>
      <c r="N42" s="139"/>
      <c r="O42" s="144"/>
      <c r="P42" s="139"/>
      <c r="Q42" s="186"/>
    </row>
    <row r="43" spans="1:17" x14ac:dyDescent="0.3">
      <c r="A43" s="150">
        <f>EINGABEN!C43</f>
        <v>0</v>
      </c>
      <c r="B43" s="170">
        <f>EINGABEN!E43</f>
        <v>1</v>
      </c>
      <c r="C43" s="106"/>
      <c r="D43" s="106">
        <f t="shared" si="2"/>
        <v>0</v>
      </c>
      <c r="E43" s="106">
        <f t="shared" si="3"/>
        <v>0</v>
      </c>
      <c r="F43" s="151">
        <f>((-LN((C52*(2.71828183^(C54*D43)))^-1)))</f>
        <v>1.2675665668195701</v>
      </c>
      <c r="G43" s="141">
        <f t="shared" si="0"/>
        <v>0</v>
      </c>
      <c r="H43" s="141">
        <f t="shared" si="1"/>
        <v>0</v>
      </c>
      <c r="I43" s="141">
        <f t="shared" si="1"/>
        <v>0</v>
      </c>
      <c r="J43" s="219" t="str">
        <f>IF(EINGABEN!C43="","",EINGABEN!C43)</f>
        <v/>
      </c>
      <c r="K43" s="141" t="str">
        <f t="shared" si="4"/>
        <v/>
      </c>
      <c r="L43" s="143" t="str">
        <f t="shared" si="5"/>
        <v/>
      </c>
      <c r="M43" s="219" t="str">
        <f t="shared" si="6"/>
        <v/>
      </c>
      <c r="N43" s="139"/>
      <c r="O43" s="144"/>
      <c r="P43" s="139"/>
      <c r="Q43" s="186"/>
    </row>
    <row r="44" spans="1:17" x14ac:dyDescent="0.3">
      <c r="A44" s="150">
        <f>EINGABEN!C44</f>
        <v>0</v>
      </c>
      <c r="B44" s="170">
        <f>EINGABEN!E44</f>
        <v>1</v>
      </c>
      <c r="C44" s="106"/>
      <c r="D44" s="106">
        <f t="shared" si="2"/>
        <v>0</v>
      </c>
      <c r="E44" s="106">
        <f t="shared" si="3"/>
        <v>0</v>
      </c>
      <c r="F44" s="151">
        <f>((-LN((C52*(2.71828183^(C54*D44)))^-1)))</f>
        <v>1.2675665668195701</v>
      </c>
      <c r="G44" s="141">
        <f t="shared" si="0"/>
        <v>0</v>
      </c>
      <c r="H44" s="141">
        <f t="shared" si="1"/>
        <v>0</v>
      </c>
      <c r="I44" s="141">
        <f t="shared" si="1"/>
        <v>0</v>
      </c>
      <c r="J44" s="219" t="str">
        <f>IF(EINGABEN!C44="","",EINGABEN!C44)</f>
        <v/>
      </c>
      <c r="K44" s="141" t="str">
        <f t="shared" si="4"/>
        <v/>
      </c>
      <c r="L44" s="143" t="str">
        <f t="shared" si="5"/>
        <v/>
      </c>
      <c r="M44" s="219" t="str">
        <f t="shared" si="6"/>
        <v/>
      </c>
      <c r="N44" s="139"/>
      <c r="O44" s="144"/>
      <c r="P44" s="139"/>
      <c r="Q44" s="186"/>
    </row>
    <row r="45" spans="1:17" ht="15" thickBot="1" x14ac:dyDescent="0.35">
      <c r="A45" s="207">
        <f>EINGABEN!C45</f>
        <v>0</v>
      </c>
      <c r="B45" s="184">
        <f>EINGABEN!E45</f>
        <v>1</v>
      </c>
      <c r="C45" s="208"/>
      <c r="D45" s="208">
        <f t="shared" si="2"/>
        <v>0</v>
      </c>
      <c r="E45" s="208">
        <f t="shared" si="3"/>
        <v>0</v>
      </c>
      <c r="F45" s="161">
        <f>((-LN((C52*(2.71828183^(C54*D45)))^-1)))</f>
        <v>1.2675665668195701</v>
      </c>
      <c r="G45" s="141">
        <f t="shared" si="0"/>
        <v>0</v>
      </c>
      <c r="H45" s="141">
        <f t="shared" si="1"/>
        <v>0</v>
      </c>
      <c r="I45" s="141">
        <f t="shared" si="1"/>
        <v>0</v>
      </c>
      <c r="J45" s="219" t="str">
        <f>IF(EINGABEN!C45="","",EINGABEN!C45)</f>
        <v/>
      </c>
      <c r="K45" s="141" t="str">
        <f t="shared" si="4"/>
        <v/>
      </c>
      <c r="L45" s="143" t="str">
        <f t="shared" si="5"/>
        <v/>
      </c>
      <c r="M45" s="219" t="str">
        <f t="shared" si="6"/>
        <v/>
      </c>
      <c r="N45" s="139"/>
      <c r="O45" s="144"/>
      <c r="P45" s="139"/>
      <c r="Q45" s="186"/>
    </row>
    <row r="46" spans="1:17" ht="15" thickTop="1" x14ac:dyDescent="0.3">
      <c r="A46" s="175" t="s">
        <v>44</v>
      </c>
      <c r="B46" s="61"/>
      <c r="C46" s="61"/>
      <c r="D46" s="61"/>
      <c r="E46" s="61"/>
      <c r="F46" s="177"/>
      <c r="G46" s="139"/>
      <c r="H46" s="139"/>
      <c r="I46" s="139"/>
      <c r="J46" s="219"/>
      <c r="K46" s="220"/>
      <c r="L46" s="220" t="s">
        <v>116</v>
      </c>
      <c r="M46" s="220">
        <f>((SUM(M6:M45))/((EINGABEN!D46)-1))^0.5</f>
        <v>49.418190535888066</v>
      </c>
      <c r="N46" s="139"/>
      <c r="O46" s="139"/>
      <c r="P46" s="139"/>
    </row>
    <row r="47" spans="1:17" x14ac:dyDescent="0.3">
      <c r="A47" s="175" t="s">
        <v>40</v>
      </c>
      <c r="B47" s="61" t="s">
        <v>102</v>
      </c>
      <c r="C47" s="61"/>
      <c r="D47" s="61"/>
      <c r="E47" s="61"/>
      <c r="F47" s="177"/>
      <c r="G47" s="139"/>
      <c r="H47" s="139"/>
      <c r="I47" s="139"/>
      <c r="J47" s="219"/>
      <c r="K47" s="220"/>
      <c r="L47" s="220"/>
      <c r="M47" s="220"/>
      <c r="N47" s="139"/>
      <c r="O47" s="139"/>
      <c r="P47" s="139"/>
    </row>
    <row r="48" spans="1:17" x14ac:dyDescent="0.3">
      <c r="A48" s="175" t="s">
        <v>41</v>
      </c>
      <c r="B48" s="61" t="s">
        <v>42</v>
      </c>
      <c r="C48" s="61"/>
      <c r="D48" s="61"/>
      <c r="E48" s="61"/>
      <c r="F48" s="177"/>
      <c r="G48" s="139"/>
      <c r="H48" s="139"/>
      <c r="I48" s="139"/>
      <c r="J48" s="219"/>
      <c r="K48" s="220" t="s">
        <v>117</v>
      </c>
      <c r="L48" s="220">
        <f>(SUM(L6:L45))/(EINGABEN!D46)</f>
        <v>94.099919792155376</v>
      </c>
      <c r="M48" s="220"/>
      <c r="N48" s="139"/>
      <c r="O48" s="139"/>
      <c r="P48" s="139"/>
    </row>
    <row r="49" spans="1:16" ht="15" thickBot="1" x14ac:dyDescent="0.35">
      <c r="A49" s="221" t="s">
        <v>39</v>
      </c>
      <c r="B49" s="222"/>
      <c r="C49" s="222"/>
      <c r="D49" s="222"/>
      <c r="E49" s="222"/>
      <c r="F49" s="196"/>
      <c r="G49" s="139"/>
      <c r="H49" s="139"/>
      <c r="I49" s="139"/>
      <c r="J49" s="139"/>
      <c r="K49" s="139"/>
      <c r="L49" s="139"/>
      <c r="M49" s="139"/>
      <c r="N49" s="139"/>
      <c r="O49" s="139"/>
      <c r="P49" s="139"/>
    </row>
    <row r="50" spans="1:16" ht="15" thickTop="1" x14ac:dyDescent="0.3">
      <c r="A50" s="223"/>
      <c r="B50" s="213"/>
      <c r="C50" s="213"/>
      <c r="D50" s="213"/>
      <c r="E50" s="213"/>
      <c r="F50" s="224"/>
      <c r="G50" s="139"/>
      <c r="H50" s="139"/>
      <c r="I50" s="139"/>
      <c r="J50" s="139"/>
      <c r="K50" s="139"/>
      <c r="L50" s="139"/>
      <c r="M50" s="139"/>
      <c r="N50" s="139"/>
      <c r="O50" s="139"/>
      <c r="P50" s="139"/>
    </row>
    <row r="51" spans="1:16" x14ac:dyDescent="0.3">
      <c r="A51" s="175"/>
      <c r="B51" s="61"/>
      <c r="C51" s="61"/>
      <c r="D51" s="61"/>
      <c r="E51" s="61"/>
      <c r="F51" s="177"/>
      <c r="G51" s="139"/>
      <c r="H51" s="139"/>
      <c r="I51" s="139"/>
      <c r="J51" s="139"/>
      <c r="K51" s="139"/>
      <c r="L51" s="139"/>
      <c r="M51" s="139"/>
      <c r="N51" s="139"/>
      <c r="O51" s="139"/>
      <c r="P51" s="139"/>
    </row>
    <row r="52" spans="1:16" x14ac:dyDescent="0.3">
      <c r="A52" s="225" t="s">
        <v>11</v>
      </c>
      <c r="B52" s="226"/>
      <c r="C52" s="164">
        <f>IF(MIN(EINGABEN!D6:'EINGABEN'!D45)&lt;0,"keine Lösung",ROUND((EXP((E4-(C54*D4))/(C4))),6))</f>
        <v>3.5521980000000002</v>
      </c>
      <c r="D52" s="61"/>
      <c r="E52" s="61"/>
      <c r="F52" s="177"/>
      <c r="G52" s="139"/>
      <c r="H52" s="139"/>
      <c r="I52" s="139"/>
      <c r="J52" s="139"/>
      <c r="K52" s="139"/>
      <c r="L52" s="139"/>
      <c r="M52" s="139"/>
      <c r="N52" s="139"/>
      <c r="O52" s="139"/>
      <c r="P52" s="139"/>
    </row>
    <row r="53" spans="1:16" x14ac:dyDescent="0.3">
      <c r="A53" s="227"/>
      <c r="B53" s="195"/>
      <c r="C53" s="195"/>
      <c r="D53" s="61"/>
      <c r="E53" s="61"/>
      <c r="F53" s="177"/>
      <c r="G53" s="139"/>
      <c r="H53" s="139"/>
      <c r="I53" s="139"/>
      <c r="J53" s="139"/>
      <c r="K53" s="139"/>
      <c r="L53" s="139"/>
      <c r="M53" s="139"/>
      <c r="N53" s="139"/>
      <c r="O53" s="139"/>
      <c r="P53" s="139"/>
    </row>
    <row r="54" spans="1:16" x14ac:dyDescent="0.3">
      <c r="A54" s="228" t="s">
        <v>12</v>
      </c>
      <c r="B54" s="195"/>
      <c r="C54" s="195">
        <f>IF(MIN(EINGABEN!D6:'EINGABEN'!D45)&lt;=0,"keine Lösung",ROUND((C4*G4-D4*E4)/(C4*H4-(D4)^2),6))</f>
        <v>0.30660500000000002</v>
      </c>
      <c r="D54" s="61"/>
      <c r="E54" s="61"/>
      <c r="F54" s="177"/>
      <c r="G54" s="139"/>
      <c r="H54" s="139"/>
      <c r="I54" s="139"/>
      <c r="J54" s="139"/>
      <c r="K54" s="139"/>
      <c r="L54" s="139"/>
      <c r="M54" s="139"/>
      <c r="N54" s="139"/>
      <c r="O54" s="139"/>
      <c r="P54" s="139"/>
    </row>
    <row r="55" spans="1:16" x14ac:dyDescent="0.3">
      <c r="A55" s="227"/>
      <c r="B55" s="195"/>
      <c r="C55" s="195"/>
      <c r="D55" s="61"/>
      <c r="E55" s="61"/>
      <c r="F55" s="177"/>
      <c r="G55" s="139"/>
      <c r="H55" s="139"/>
      <c r="I55" s="139"/>
      <c r="J55" s="139"/>
      <c r="K55" s="139"/>
      <c r="L55" s="139"/>
      <c r="M55" s="139"/>
      <c r="N55" s="139"/>
      <c r="O55" s="139"/>
      <c r="P55" s="139"/>
    </row>
    <row r="56" spans="1:16" x14ac:dyDescent="0.3">
      <c r="A56" s="228" t="s">
        <v>13</v>
      </c>
      <c r="B56" s="195"/>
      <c r="C56" s="195">
        <f>IF(MIN(EINGABEN!D6:'EINGABEN'!D45)&lt;=0,"keine Lösung",IF(D59=0,0,IF(D58/D59&gt;1,1,ROUND(ABS(D58/D59),6))))</f>
        <v>0.955152</v>
      </c>
      <c r="D56" s="61"/>
      <c r="E56" s="61"/>
      <c r="F56" s="177"/>
      <c r="G56" s="139"/>
      <c r="H56" s="139"/>
      <c r="I56" s="139"/>
      <c r="J56" s="139"/>
      <c r="K56" s="139"/>
      <c r="L56" s="139"/>
      <c r="M56" s="139"/>
      <c r="N56" s="139"/>
      <c r="O56" s="139"/>
      <c r="P56" s="139"/>
    </row>
    <row r="57" spans="1:16" ht="15" thickBot="1" x14ac:dyDescent="0.35">
      <c r="A57" s="221"/>
      <c r="B57" s="222"/>
      <c r="C57" s="222"/>
      <c r="D57" s="222"/>
      <c r="E57" s="222"/>
      <c r="F57" s="196"/>
      <c r="G57" s="139"/>
      <c r="H57" s="139"/>
      <c r="I57" s="139"/>
      <c r="J57" s="139"/>
      <c r="K57" s="139"/>
      <c r="L57" s="139"/>
      <c r="M57" s="139"/>
      <c r="N57" s="139"/>
      <c r="O57" s="139"/>
      <c r="P57" s="139"/>
    </row>
    <row r="58" spans="1:16" ht="15" thickTop="1" x14ac:dyDescent="0.3">
      <c r="A58" s="228" t="s">
        <v>14</v>
      </c>
      <c r="B58" s="50"/>
      <c r="C58" s="171" t="s">
        <v>19</v>
      </c>
      <c r="D58" s="172">
        <f>(C4*G4-(D4*E4))</f>
        <v>633.21646489202612</v>
      </c>
      <c r="E58" s="202" t="s">
        <v>71</v>
      </c>
      <c r="F58" s="177"/>
      <c r="G58" s="139"/>
      <c r="H58" s="139"/>
      <c r="I58" s="139"/>
      <c r="J58" s="139"/>
      <c r="K58" s="139"/>
      <c r="L58" s="139"/>
      <c r="M58" s="139"/>
      <c r="N58" s="139"/>
      <c r="O58" s="139"/>
      <c r="P58" s="139"/>
    </row>
    <row r="59" spans="1:16" x14ac:dyDescent="0.3">
      <c r="A59" s="229"/>
      <c r="B59" s="50"/>
      <c r="C59" s="171" t="s">
        <v>20</v>
      </c>
      <c r="D59" s="173">
        <f>((C4*H4-(D4)^2)*(C4*I4-(E4)^2))^0.5</f>
        <v>662.94842212119863</v>
      </c>
      <c r="E59" s="202" t="s">
        <v>71</v>
      </c>
      <c r="F59" s="177"/>
      <c r="G59" s="139"/>
      <c r="H59" s="139"/>
      <c r="I59" s="139"/>
      <c r="J59" s="139"/>
      <c r="K59" s="139"/>
      <c r="L59" s="139"/>
      <c r="M59" s="139"/>
      <c r="N59" s="139"/>
      <c r="O59" s="139"/>
      <c r="P59" s="139"/>
    </row>
    <row r="60" spans="1:16" x14ac:dyDescent="0.3">
      <c r="A60" s="175"/>
      <c r="B60" s="61"/>
      <c r="C60" s="277" t="s">
        <v>110</v>
      </c>
      <c r="D60" s="278"/>
      <c r="E60" s="182">
        <f>IF(EINGABEN!D46&lt;10,"Anzahl zu klein",ROUND((E61*(1+E64/100)),2))</f>
        <v>254.57</v>
      </c>
      <c r="F60" s="177"/>
      <c r="G60" s="139"/>
      <c r="H60" s="139"/>
      <c r="I60" s="139"/>
      <c r="J60" s="139"/>
      <c r="K60" s="139"/>
      <c r="L60" s="139"/>
      <c r="M60" s="139"/>
      <c r="N60" s="139"/>
      <c r="O60" s="139"/>
      <c r="P60" s="139"/>
    </row>
    <row r="61" spans="1:16" x14ac:dyDescent="0.3">
      <c r="A61" s="30" t="s">
        <v>15</v>
      </c>
      <c r="B61" s="187">
        <v>10</v>
      </c>
      <c r="C61" s="230" t="s">
        <v>16</v>
      </c>
      <c r="D61" s="195" t="s">
        <v>72</v>
      </c>
      <c r="E61" s="180">
        <f>IF(MIN(EINGABEN!D6:'EINGABEN'!D45)&lt;=0,"keine Lösung",ROUND((C52*2.71828184^(C54*B61)),2))</f>
        <v>76.22</v>
      </c>
      <c r="F61" s="177"/>
      <c r="G61" s="139"/>
      <c r="H61" s="139"/>
      <c r="I61" s="139"/>
      <c r="J61" s="139"/>
      <c r="K61" s="139"/>
      <c r="L61" s="139"/>
      <c r="M61" s="139"/>
      <c r="N61" s="139"/>
      <c r="O61" s="139"/>
      <c r="P61" s="139"/>
    </row>
    <row r="62" spans="1:16" x14ac:dyDescent="0.3">
      <c r="A62" s="229" t="s">
        <v>63</v>
      </c>
      <c r="B62" s="50" t="s">
        <v>64</v>
      </c>
      <c r="C62" s="277" t="s">
        <v>111</v>
      </c>
      <c r="D62" s="278"/>
      <c r="E62" s="182">
        <f>IF(EINGABEN!D46&lt;10,"Anzahl zu klein",ROUND((E61*(1-E64/100)),2))</f>
        <v>-102.13</v>
      </c>
      <c r="F62" s="177"/>
      <c r="G62" s="139"/>
      <c r="H62" s="139"/>
      <c r="I62" s="139"/>
      <c r="J62" s="139"/>
      <c r="K62" s="139"/>
      <c r="L62" s="139"/>
      <c r="M62" s="139"/>
      <c r="N62" s="139"/>
      <c r="O62" s="139"/>
      <c r="P62" s="139"/>
    </row>
    <row r="63" spans="1:16" x14ac:dyDescent="0.3">
      <c r="A63" s="30" t="s">
        <v>17</v>
      </c>
      <c r="B63" s="187">
        <v>76.22</v>
      </c>
      <c r="C63" s="230" t="s">
        <v>16</v>
      </c>
      <c r="D63" s="195" t="s">
        <v>70</v>
      </c>
      <c r="E63" s="180">
        <f>IF(MIN(EINGABEN!D6:'EINGABEN'!D45)&lt;=0,"keine Lösung",IF(C56=0,0,ROUND(((LN(B63/C52))/C54),2)))</f>
        <v>10</v>
      </c>
      <c r="F63" s="177"/>
      <c r="G63" s="139"/>
      <c r="H63" s="139"/>
      <c r="I63" s="139"/>
      <c r="J63" s="139"/>
      <c r="K63" s="139"/>
      <c r="L63" s="139"/>
      <c r="M63" s="139"/>
      <c r="N63" s="139"/>
      <c r="O63" s="139"/>
      <c r="P63" s="139"/>
    </row>
    <row r="64" spans="1:16" ht="15" thickBot="1" x14ac:dyDescent="0.35">
      <c r="A64" s="231" t="s">
        <v>68</v>
      </c>
      <c r="B64" s="205" t="s">
        <v>69</v>
      </c>
      <c r="C64" s="273" t="s">
        <v>119</v>
      </c>
      <c r="D64" s="273"/>
      <c r="E64" s="185">
        <f>IF(EINGABEN!D46&lt;10,"Anzahl zu klein",ROUND(((((2.868009*(LN(LN(EINGABEN!D46)))^-2.421118))*M46)/L48)*100,0))</f>
        <v>234</v>
      </c>
      <c r="F64" s="232"/>
      <c r="G64" s="139"/>
      <c r="H64" s="139"/>
      <c r="I64" s="139"/>
      <c r="J64" s="139"/>
      <c r="K64" s="139"/>
      <c r="L64" s="139"/>
      <c r="M64" s="139"/>
      <c r="N64" s="139"/>
      <c r="O64" s="139"/>
      <c r="P64" s="139"/>
    </row>
    <row r="65" spans="3:16" ht="15" thickTop="1" x14ac:dyDescent="0.3">
      <c r="C65" s="213"/>
      <c r="D65" s="213"/>
      <c r="G65" s="139"/>
      <c r="H65" s="139"/>
      <c r="I65" s="139"/>
      <c r="J65" s="139"/>
      <c r="K65" s="139"/>
      <c r="L65" s="139"/>
      <c r="M65" s="139"/>
      <c r="N65" s="139"/>
      <c r="O65" s="139"/>
      <c r="P65" s="139"/>
    </row>
    <row r="66" spans="3:16" x14ac:dyDescent="0.3">
      <c r="G66" s="139"/>
      <c r="H66" s="139"/>
      <c r="I66" s="139"/>
      <c r="J66" s="139"/>
      <c r="K66" s="139"/>
      <c r="L66" s="139"/>
      <c r="M66" s="139"/>
      <c r="N66" s="139"/>
      <c r="O66" s="139"/>
      <c r="P66" s="139"/>
    </row>
    <row r="67" spans="3:16" x14ac:dyDescent="0.3">
      <c r="G67" s="139"/>
      <c r="H67" s="139"/>
      <c r="I67" s="139"/>
      <c r="J67" s="139"/>
      <c r="K67" s="139"/>
      <c r="L67" s="139"/>
      <c r="M67" s="139"/>
      <c r="N67" s="139"/>
      <c r="O67" s="139"/>
      <c r="P67" s="139"/>
    </row>
    <row r="68" spans="3:16" x14ac:dyDescent="0.3">
      <c r="G68" s="139"/>
      <c r="H68" s="139"/>
      <c r="I68" s="139"/>
      <c r="J68" s="139"/>
      <c r="K68" s="139"/>
      <c r="L68" s="139"/>
      <c r="M68" s="139"/>
      <c r="N68" s="139"/>
      <c r="O68" s="139"/>
      <c r="P68" s="139"/>
    </row>
    <row r="69" spans="3:16" x14ac:dyDescent="0.3">
      <c r="G69" s="139"/>
      <c r="H69" s="139"/>
      <c r="I69" s="139"/>
      <c r="J69" s="139"/>
      <c r="K69" s="139"/>
      <c r="L69" s="139"/>
      <c r="M69" s="139"/>
      <c r="N69" s="139"/>
      <c r="O69" s="139"/>
      <c r="P69" s="139"/>
    </row>
    <row r="70" spans="3:16" x14ac:dyDescent="0.3">
      <c r="G70" s="139"/>
      <c r="H70" s="139"/>
      <c r="I70" s="139"/>
      <c r="J70" s="139"/>
      <c r="K70" s="139"/>
      <c r="L70" s="139"/>
      <c r="M70" s="139"/>
      <c r="N70" s="139"/>
      <c r="O70" s="139"/>
      <c r="P70" s="139"/>
    </row>
    <row r="71" spans="3:16" x14ac:dyDescent="0.3">
      <c r="G71" s="139"/>
      <c r="H71" s="139"/>
      <c r="I71" s="139"/>
      <c r="J71" s="139"/>
      <c r="K71" s="139"/>
      <c r="L71" s="139"/>
      <c r="M71" s="139"/>
      <c r="N71" s="139"/>
      <c r="O71" s="139"/>
      <c r="P71" s="139"/>
    </row>
  </sheetData>
  <sheetProtection algorithmName="SHA-512" hashValue="NdFq+AVfhnW20h9tnKarhtcRTywVbTkF0ZcuU4GhewM7SF0K04ShJCP8MUXJxiyb0+rECH777A7O4j89YbcCMA==" saltValue="DGNRgMkR2+UJzyv1b59RDQ==" spinCount="100000" sheet="1" objects="1" scenarios="1"/>
  <mergeCells count="4">
    <mergeCell ref="A4:B4"/>
    <mergeCell ref="C60:D60"/>
    <mergeCell ref="C62:D62"/>
    <mergeCell ref="C64:D64"/>
  </mergeCells>
  <dataValidations count="2">
    <dataValidation showInputMessage="1" showErrorMessage="1" sqref="A6:A45 B6:B9" xr:uid="{00000000-0002-0000-0400-000000000000}"/>
    <dataValidation type="decimal" operator="greaterThan" allowBlank="1" showInputMessage="1" showErrorMessage="1" sqref="B63" xr:uid="{8603512F-E6D0-4140-894C-C4868E7E574B}">
      <formula1>0</formula1>
    </dataValidation>
  </dataValidations>
  <pageMargins left="0.7" right="0.7" top="0.78740157499999996" bottom="0.78740157499999996" header="0.3" footer="0.3"/>
  <pageSetup paperSize="9" orientation="portrait" horizontalDpi="4294967293" verticalDpi="4294967293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S70"/>
  <sheetViews>
    <sheetView topLeftCell="A16" zoomScaleNormal="100" workbookViewId="0">
      <selection activeCell="I53" sqref="I53"/>
    </sheetView>
  </sheetViews>
  <sheetFormatPr baseColWidth="10" defaultRowHeight="14.4" x14ac:dyDescent="0.3"/>
  <cols>
    <col min="1" max="1" width="18.109375" style="140" customWidth="1"/>
    <col min="2" max="4" width="11.6640625" style="140" bestFit="1" customWidth="1"/>
    <col min="5" max="5" width="12.109375" style="140" bestFit="1" customWidth="1"/>
    <col min="6" max="6" width="18" style="140" customWidth="1"/>
    <col min="7" max="8" width="11.6640625" style="140" bestFit="1" customWidth="1"/>
    <col min="9" max="9" width="14.88671875" style="140" customWidth="1"/>
    <col min="10" max="10" width="22.109375" style="140" customWidth="1"/>
    <col min="11" max="11" width="34.6640625" style="140" customWidth="1"/>
    <col min="12" max="12" width="28.5546875" style="140" customWidth="1"/>
    <col min="13" max="13" width="19.88671875" style="140" customWidth="1"/>
    <col min="14" max="14" width="17.21875" style="140" customWidth="1"/>
    <col min="15" max="16384" width="11.5546875" style="140"/>
  </cols>
  <sheetData>
    <row r="1" spans="1:19" ht="18" x14ac:dyDescent="0.35">
      <c r="A1" s="215" t="s">
        <v>57</v>
      </c>
      <c r="B1" s="216"/>
      <c r="C1" s="216"/>
      <c r="D1" s="216"/>
      <c r="E1" s="216"/>
      <c r="F1" s="216"/>
      <c r="G1" s="216"/>
      <c r="H1" s="141">
        <f>IF(E1&lt;EXP(1),0,(LN((LN(E1+0.0000001)))))</f>
        <v>0</v>
      </c>
      <c r="I1" s="217"/>
      <c r="J1" s="138"/>
      <c r="K1" s="138"/>
      <c r="L1" s="138"/>
      <c r="M1" s="138"/>
      <c r="N1" s="138"/>
      <c r="O1" s="138"/>
      <c r="P1" s="139"/>
      <c r="Q1" s="139"/>
    </row>
    <row r="2" spans="1:19" x14ac:dyDescent="0.3">
      <c r="A2" s="141"/>
      <c r="B2" s="141"/>
      <c r="C2" s="261"/>
      <c r="D2" s="261"/>
      <c r="E2" s="261"/>
      <c r="F2" s="261"/>
      <c r="G2" s="261"/>
      <c r="H2" s="141"/>
      <c r="I2" s="137"/>
      <c r="J2" s="138"/>
      <c r="K2" s="138"/>
      <c r="L2" s="138"/>
      <c r="M2" s="138"/>
      <c r="N2" s="138"/>
      <c r="O2" s="138"/>
      <c r="P2" s="139"/>
      <c r="Q2" s="139"/>
    </row>
    <row r="3" spans="1:19" x14ac:dyDescent="0.3">
      <c r="A3" s="141"/>
      <c r="B3" s="141"/>
      <c r="C3" s="141" t="s">
        <v>0</v>
      </c>
      <c r="D3" s="142" t="s">
        <v>1</v>
      </c>
      <c r="E3" s="141" t="s">
        <v>2</v>
      </c>
      <c r="F3" s="141" t="s">
        <v>21</v>
      </c>
      <c r="G3" s="141" t="s">
        <v>3</v>
      </c>
      <c r="H3" s="141" t="s">
        <v>4</v>
      </c>
      <c r="I3" s="141" t="s">
        <v>140</v>
      </c>
      <c r="J3" s="138"/>
      <c r="K3" s="138"/>
      <c r="L3" s="138"/>
      <c r="M3" s="138"/>
      <c r="N3" s="138"/>
      <c r="O3" s="138"/>
      <c r="P3" s="139"/>
      <c r="Q3" s="139"/>
    </row>
    <row r="4" spans="1:19" x14ac:dyDescent="0.3">
      <c r="A4" s="269" t="s">
        <v>141</v>
      </c>
      <c r="B4" s="269"/>
      <c r="C4" s="141">
        <f>EINGABEN!$D$46</f>
        <v>10</v>
      </c>
      <c r="D4" s="141">
        <f>SUM(D6:D45)</f>
        <v>78.5</v>
      </c>
      <c r="E4" s="141">
        <f>ROUND(SUM(E6:E45),3)</f>
        <v>11.785</v>
      </c>
      <c r="F4" s="143" t="s">
        <v>22</v>
      </c>
      <c r="G4" s="141">
        <f>SUM(G6:G45)</f>
        <v>114.29215233983983</v>
      </c>
      <c r="H4" s="141">
        <f>SUM(H6:H45)</f>
        <v>822.75</v>
      </c>
      <c r="I4" s="141">
        <f>ROUND(SUM(I6:I45),12)</f>
        <v>17.066139457525999</v>
      </c>
      <c r="J4" s="138"/>
      <c r="K4" s="138"/>
      <c r="L4" s="138"/>
      <c r="M4" s="138"/>
      <c r="N4" s="138"/>
      <c r="O4" s="138"/>
      <c r="P4" s="139"/>
      <c r="Q4" s="139"/>
    </row>
    <row r="5" spans="1:19" x14ac:dyDescent="0.3">
      <c r="A5" s="141" t="s">
        <v>8</v>
      </c>
      <c r="B5" s="141" t="s">
        <v>9</v>
      </c>
      <c r="C5" s="141" t="s">
        <v>38</v>
      </c>
      <c r="D5" s="141" t="s">
        <v>5</v>
      </c>
      <c r="E5" s="141" t="s">
        <v>6</v>
      </c>
      <c r="F5" s="141" t="s">
        <v>23</v>
      </c>
      <c r="G5" s="141" t="s">
        <v>10</v>
      </c>
      <c r="H5" s="141" t="s">
        <v>7</v>
      </c>
      <c r="I5" s="142" t="s">
        <v>18</v>
      </c>
      <c r="J5" s="138" t="s">
        <v>114</v>
      </c>
      <c r="K5" s="138" t="s">
        <v>112</v>
      </c>
      <c r="L5" s="138" t="s">
        <v>113</v>
      </c>
      <c r="M5" s="138" t="s">
        <v>115</v>
      </c>
      <c r="N5" s="138"/>
      <c r="O5" s="138"/>
      <c r="P5" s="139"/>
      <c r="Q5" s="139"/>
    </row>
    <row r="6" spans="1:19" x14ac:dyDescent="0.3">
      <c r="A6" s="141">
        <f>EINGABEN!C6</f>
        <v>8</v>
      </c>
      <c r="B6" s="141">
        <f>EINGABEN!F6</f>
        <v>64</v>
      </c>
      <c r="C6" s="141"/>
      <c r="D6" s="141">
        <f>(A6)</f>
        <v>8</v>
      </c>
      <c r="E6" s="141">
        <f>(LN((LN(B6+0.0000001))))</f>
        <v>1.4252465490220925</v>
      </c>
      <c r="F6" s="143">
        <f>((-LN((C52*(2.71828183^(C54*D6)))^-1)))</f>
        <v>1.1943190128879035</v>
      </c>
      <c r="G6" s="141">
        <f t="shared" ref="G6:G45" si="0">(D6*E6)</f>
        <v>11.40197239217674</v>
      </c>
      <c r="H6" s="141">
        <f t="shared" ref="H6:I45" si="1">(D6)^2</f>
        <v>64</v>
      </c>
      <c r="I6" s="141">
        <f t="shared" si="1"/>
        <v>2.0313277254993838</v>
      </c>
      <c r="J6" s="138">
        <f>IF(EINGABEN!C6="","",EINGABEN!C6)</f>
        <v>8</v>
      </c>
      <c r="K6" s="138">
        <f>IF(J6="","",B6)</f>
        <v>64</v>
      </c>
      <c r="L6" s="138">
        <f>IF(J6="","",(EXP($C$52*EXP($C$54*J6))))</f>
        <v>27.148148653170292</v>
      </c>
      <c r="M6" s="138">
        <f>IF(K6="","",(K6-L6)^2)</f>
        <v>1358.0589476888342</v>
      </c>
      <c r="N6" s="138"/>
      <c r="O6" s="138"/>
      <c r="P6" s="139"/>
      <c r="Q6" s="139"/>
    </row>
    <row r="7" spans="1:19" x14ac:dyDescent="0.3">
      <c r="A7" s="141">
        <f>EINGABEN!C7</f>
        <v>7</v>
      </c>
      <c r="B7" s="141">
        <f>EINGABEN!F7</f>
        <v>49</v>
      </c>
      <c r="C7" s="141"/>
      <c r="D7" s="141">
        <f t="shared" ref="D7:D45" si="2">(A7)</f>
        <v>7</v>
      </c>
      <c r="E7" s="141">
        <f t="shared" ref="E7:E45" si="3">(LN((LN(B7+0.0000001))))</f>
        <v>1.3588769916626078</v>
      </c>
      <c r="F7" s="143">
        <f>((-LN((C52*(2.71828183^(C54*D7)))^-1)))</f>
        <v>1.0888600128281203</v>
      </c>
      <c r="G7" s="141">
        <f t="shared" si="0"/>
        <v>9.5121389416382538</v>
      </c>
      <c r="H7" s="141">
        <f t="shared" si="1"/>
        <v>49</v>
      </c>
      <c r="I7" s="141">
        <f t="shared" si="1"/>
        <v>1.8465466784700191</v>
      </c>
      <c r="J7" s="138">
        <f>IF(EINGABEN!C7="","",EINGABEN!C7)</f>
        <v>7</v>
      </c>
      <c r="K7" s="138">
        <f t="shared" ref="K7:K45" si="4">IF(J7="","",B7)</f>
        <v>49</v>
      </c>
      <c r="L7" s="138">
        <f t="shared" ref="L7:L45" si="5">IF(J7="","",(EXP($C$52*EXP($C$54*J7))))</f>
        <v>19.509184778064782</v>
      </c>
      <c r="M7" s="138">
        <f t="shared" ref="M7:M45" si="6">IF(K7="","",(K7-L7)^2)</f>
        <v>869.70818245432599</v>
      </c>
      <c r="N7" s="138"/>
      <c r="O7" s="138"/>
      <c r="P7" s="139"/>
      <c r="Q7" s="139"/>
    </row>
    <row r="8" spans="1:19" x14ac:dyDescent="0.3">
      <c r="A8" s="141">
        <f>EINGABEN!C8</f>
        <v>4</v>
      </c>
      <c r="B8" s="218">
        <f>EINGABEN!F8</f>
        <v>16</v>
      </c>
      <c r="C8" s="141"/>
      <c r="D8" s="141">
        <f t="shared" si="2"/>
        <v>4</v>
      </c>
      <c r="E8" s="141">
        <f t="shared" si="3"/>
        <v>1.0197814427924372</v>
      </c>
      <c r="F8" s="143">
        <f>((-LN((C52*(2.71828183^(C54*D8)))^-1)))</f>
        <v>0.77248301264877062</v>
      </c>
      <c r="G8" s="141">
        <f t="shared" si="0"/>
        <v>4.0791257711697488</v>
      </c>
      <c r="H8" s="141">
        <f t="shared" si="1"/>
        <v>16</v>
      </c>
      <c r="I8" s="141">
        <f t="shared" si="1"/>
        <v>1.0399541910638248</v>
      </c>
      <c r="J8" s="138">
        <f>IF(EINGABEN!C8="","",EINGABEN!C8)</f>
        <v>4</v>
      </c>
      <c r="K8" s="138">
        <f t="shared" si="4"/>
        <v>16</v>
      </c>
      <c r="L8" s="138">
        <f t="shared" si="5"/>
        <v>8.7157840767148684</v>
      </c>
      <c r="M8" s="138">
        <f t="shared" si="6"/>
        <v>53.059801617040662</v>
      </c>
      <c r="N8" s="138"/>
      <c r="O8" s="138"/>
      <c r="P8" s="139"/>
      <c r="Q8" s="139"/>
    </row>
    <row r="9" spans="1:19" x14ac:dyDescent="0.3">
      <c r="A9" s="141">
        <f>EINGABEN!C9</f>
        <v>2.5</v>
      </c>
      <c r="B9" s="141">
        <f>EINGABEN!F9</f>
        <v>6.25</v>
      </c>
      <c r="C9" s="141"/>
      <c r="D9" s="141">
        <f t="shared" si="2"/>
        <v>2.5</v>
      </c>
      <c r="E9" s="141">
        <f t="shared" si="3"/>
        <v>0.60572561750004339</v>
      </c>
      <c r="F9" s="143">
        <f>((-LN((C52*(2.71828183^(C54*D9)))^-1)))</f>
        <v>0.61429451255909617</v>
      </c>
      <c r="G9" s="141">
        <f t="shared" si="0"/>
        <v>1.5143140437501086</v>
      </c>
      <c r="H9" s="141">
        <f t="shared" si="1"/>
        <v>6.25</v>
      </c>
      <c r="I9" s="141">
        <f t="shared" si="1"/>
        <v>0.36690352369580886</v>
      </c>
      <c r="J9" s="138">
        <f>IF(EINGABEN!C9="","",EINGABEN!C9)</f>
        <v>2.5</v>
      </c>
      <c r="K9" s="138">
        <f t="shared" si="4"/>
        <v>6.25</v>
      </c>
      <c r="L9" s="138">
        <f t="shared" si="5"/>
        <v>6.3493481238372009</v>
      </c>
      <c r="M9" s="138">
        <f t="shared" si="6"/>
        <v>9.870049709971811E-3</v>
      </c>
      <c r="N9" s="138"/>
      <c r="O9" s="138"/>
      <c r="P9" s="139"/>
      <c r="Q9" s="139"/>
    </row>
    <row r="10" spans="1:19" x14ac:dyDescent="0.3">
      <c r="A10" s="141">
        <f>EINGABEN!C10</f>
        <v>4.5</v>
      </c>
      <c r="B10" s="262">
        <f>EINGABEN!F10</f>
        <v>20.25</v>
      </c>
      <c r="C10" s="141"/>
      <c r="D10" s="141">
        <f t="shared" si="2"/>
        <v>4.5</v>
      </c>
      <c r="E10" s="141">
        <f t="shared" si="3"/>
        <v>1.1013268670276919</v>
      </c>
      <c r="F10" s="143">
        <f>((-LN((C52*(2.71828183^(C54*D10)))^-1)))</f>
        <v>0.82521251267866236</v>
      </c>
      <c r="G10" s="141">
        <f t="shared" si="0"/>
        <v>4.9559709016246138</v>
      </c>
      <c r="H10" s="141">
        <f t="shared" si="1"/>
        <v>20.25</v>
      </c>
      <c r="I10" s="141">
        <f t="shared" si="1"/>
        <v>1.2129208680370314</v>
      </c>
      <c r="J10" s="138">
        <f>IF(EINGABEN!C10="","",EINGABEN!C10)</f>
        <v>4.5</v>
      </c>
      <c r="K10" s="138">
        <f t="shared" si="4"/>
        <v>20.25</v>
      </c>
      <c r="L10" s="138">
        <f t="shared" si="5"/>
        <v>9.7998369211541032</v>
      </c>
      <c r="M10" s="138">
        <f t="shared" si="6"/>
        <v>109.20590837447395</v>
      </c>
      <c r="N10" s="138"/>
      <c r="O10" s="138"/>
      <c r="P10" s="139"/>
      <c r="Q10" s="139"/>
    </row>
    <row r="11" spans="1:19" x14ac:dyDescent="0.3">
      <c r="A11" s="141">
        <f>EINGABEN!C11</f>
        <v>10</v>
      </c>
      <c r="B11" s="262">
        <f>EINGABEN!F11</f>
        <v>100</v>
      </c>
      <c r="C11" s="141"/>
      <c r="D11" s="141">
        <f t="shared" si="2"/>
        <v>10</v>
      </c>
      <c r="E11" s="141">
        <f t="shared" si="3"/>
        <v>1.5271796260250483</v>
      </c>
      <c r="F11" s="143">
        <f>((-LN((C52*(2.71828183^(C54*D11)))^-1)))</f>
        <v>1.4052370130074698</v>
      </c>
      <c r="G11" s="141">
        <f t="shared" si="0"/>
        <v>15.271796260250483</v>
      </c>
      <c r="H11" s="141">
        <f t="shared" si="1"/>
        <v>100</v>
      </c>
      <c r="I11" s="141">
        <f t="shared" si="1"/>
        <v>2.3322776101460065</v>
      </c>
      <c r="J11" s="138">
        <f>IF(EINGABEN!C11="","",EINGABEN!C11)</f>
        <v>10</v>
      </c>
      <c r="K11" s="138">
        <f t="shared" si="4"/>
        <v>100</v>
      </c>
      <c r="L11" s="138">
        <f t="shared" si="5"/>
        <v>58.938398554271735</v>
      </c>
      <c r="M11" s="138">
        <f t="shared" si="6"/>
        <v>1686.0551132878336</v>
      </c>
      <c r="N11" s="138"/>
      <c r="O11" s="138"/>
      <c r="P11" s="139"/>
      <c r="Q11" s="139"/>
    </row>
    <row r="12" spans="1:19" x14ac:dyDescent="0.3">
      <c r="A12" s="141">
        <f>EINGABEN!C12</f>
        <v>12</v>
      </c>
      <c r="B12" s="262">
        <f>EINGABEN!F12</f>
        <v>144</v>
      </c>
      <c r="C12" s="141"/>
      <c r="D12" s="141">
        <f t="shared" si="2"/>
        <v>12</v>
      </c>
      <c r="E12" s="141">
        <f t="shared" si="3"/>
        <v>1.6033822740650039</v>
      </c>
      <c r="F12" s="143">
        <f>((-LN((C52*(2.71828183^(C54*D12)))^-1)))</f>
        <v>1.6161550131270364</v>
      </c>
      <c r="G12" s="141">
        <f>(D12*E12)</f>
        <v>19.240587288780048</v>
      </c>
      <c r="H12" s="141">
        <f t="shared" si="1"/>
        <v>144</v>
      </c>
      <c r="I12" s="141">
        <f t="shared" si="1"/>
        <v>2.5708347167858632</v>
      </c>
      <c r="J12" s="138">
        <f>IF(EINGABEN!C12="","",EINGABEN!C12)</f>
        <v>12</v>
      </c>
      <c r="K12" s="138">
        <f t="shared" si="4"/>
        <v>144</v>
      </c>
      <c r="L12" s="138">
        <f t="shared" si="5"/>
        <v>153.49969060803085</v>
      </c>
      <c r="M12" s="138">
        <f t="shared" si="6"/>
        <v>90.244121648309473</v>
      </c>
      <c r="N12" s="138"/>
      <c r="O12" s="138"/>
      <c r="P12" s="139"/>
      <c r="Q12" s="139"/>
    </row>
    <row r="13" spans="1:19" x14ac:dyDescent="0.3">
      <c r="A13" s="141">
        <f>EINGABEN!C13</f>
        <v>15</v>
      </c>
      <c r="B13" s="262">
        <f>EINGABEN!F13</f>
        <v>225</v>
      </c>
      <c r="C13" s="141"/>
      <c r="D13" s="141">
        <f t="shared" si="2"/>
        <v>15</v>
      </c>
      <c r="E13" s="141">
        <f t="shared" si="3"/>
        <v>1.6893760735934</v>
      </c>
      <c r="F13" s="143">
        <f>((-LN((C52*(2.71828183^(C54*D13)))^-1)))</f>
        <v>1.9325320133063859</v>
      </c>
      <c r="G13" s="141">
        <f t="shared" si="0"/>
        <v>25.340641103901</v>
      </c>
      <c r="H13" s="141">
        <f t="shared" si="1"/>
        <v>225</v>
      </c>
      <c r="I13" s="141">
        <f t="shared" si="1"/>
        <v>2.853991518029853</v>
      </c>
      <c r="J13" s="138">
        <f>IF(EINGABEN!C13="","",EINGABEN!C13)</f>
        <v>15</v>
      </c>
      <c r="K13" s="138">
        <f t="shared" si="4"/>
        <v>225</v>
      </c>
      <c r="L13" s="138">
        <f t="shared" si="5"/>
        <v>999.22169433981503</v>
      </c>
      <c r="M13" s="138">
        <f t="shared" si="6"/>
        <v>599419.23198641394</v>
      </c>
      <c r="N13" s="138"/>
      <c r="O13" s="138"/>
      <c r="P13" s="139"/>
      <c r="Q13" s="139"/>
    </row>
    <row r="14" spans="1:19" x14ac:dyDescent="0.3">
      <c r="A14" s="141">
        <f>EINGABEN!C14</f>
        <v>1.5</v>
      </c>
      <c r="B14" s="262">
        <f>EINGABEN!F14</f>
        <v>2.25</v>
      </c>
      <c r="C14" s="141"/>
      <c r="D14" s="141">
        <f t="shared" si="2"/>
        <v>1.5</v>
      </c>
      <c r="E14" s="141">
        <f t="shared" si="3"/>
        <v>-0.20957322035119391</v>
      </c>
      <c r="F14" s="143">
        <f>((-LN((C52*(2.71828183^(C54*D14)))^-1)))</f>
        <v>0.5088355124993128</v>
      </c>
      <c r="G14" s="141">
        <f t="shared" si="0"/>
        <v>-0.31435983052679084</v>
      </c>
      <c r="H14" s="141">
        <f t="shared" si="1"/>
        <v>2.25</v>
      </c>
      <c r="I14" s="141">
        <f t="shared" si="1"/>
        <v>4.3920934688370078E-2</v>
      </c>
      <c r="J14" s="138">
        <f>IF(EINGABEN!C14="","",EINGABEN!C14)</f>
        <v>1.5</v>
      </c>
      <c r="K14" s="233">
        <f t="shared" si="4"/>
        <v>2.25</v>
      </c>
      <c r="L14" s="138">
        <f t="shared" si="5"/>
        <v>5.2769755055256864</v>
      </c>
      <c r="M14" s="138">
        <f t="shared" si="6"/>
        <v>9.1625807110524846</v>
      </c>
      <c r="N14" s="138"/>
      <c r="O14" s="138"/>
      <c r="P14" s="139"/>
      <c r="Q14" s="139"/>
    </row>
    <row r="15" spans="1:19" ht="15" thickBot="1" x14ac:dyDescent="0.35">
      <c r="A15" s="145">
        <f>EINGABEN!C15</f>
        <v>14</v>
      </c>
      <c r="B15" s="189">
        <f>EINGABEN!F15</f>
        <v>196</v>
      </c>
      <c r="C15" s="145"/>
      <c r="D15" s="145">
        <f t="shared" si="2"/>
        <v>14</v>
      </c>
      <c r="E15" s="145">
        <f t="shared" si="3"/>
        <v>1.6635689619339744</v>
      </c>
      <c r="F15" s="146">
        <f>((-LN((C52*(2.71828183^(C54*D15)))^-1)))</f>
        <v>1.8270730132466027</v>
      </c>
      <c r="G15" s="141">
        <f t="shared" si="0"/>
        <v>23.289965467075643</v>
      </c>
      <c r="H15" s="141">
        <f t="shared" si="1"/>
        <v>196</v>
      </c>
      <c r="I15" s="141">
        <f t="shared" si="1"/>
        <v>2.7674616911100811</v>
      </c>
      <c r="J15" s="138">
        <f>IF(EINGABEN!C15="","",EINGABEN!C15)</f>
        <v>14</v>
      </c>
      <c r="K15" s="138">
        <f t="shared" si="4"/>
        <v>196</v>
      </c>
      <c r="L15" s="138">
        <f t="shared" si="5"/>
        <v>500.52964474117732</v>
      </c>
      <c r="M15" s="138">
        <f t="shared" si="6"/>
        <v>92738.304526187669</v>
      </c>
      <c r="N15" s="138"/>
      <c r="O15" s="138"/>
      <c r="P15" s="139"/>
      <c r="Q15" s="139"/>
    </row>
    <row r="16" spans="1:19" ht="15" thickTop="1" x14ac:dyDescent="0.3">
      <c r="A16" s="147">
        <f>EINGABEN!C16</f>
        <v>0</v>
      </c>
      <c r="B16" s="191">
        <f>EINGABEN!F16</f>
        <v>2.7182818284590451</v>
      </c>
      <c r="C16" s="148"/>
      <c r="D16" s="148">
        <f t="shared" si="2"/>
        <v>0</v>
      </c>
      <c r="E16" s="148">
        <f t="shared" si="3"/>
        <v>3.6787942681586594E-8</v>
      </c>
      <c r="F16" s="149">
        <f>((-LN((C52*(2.71828183^(C54*D16)))^-1)))</f>
        <v>0.35064701240963791</v>
      </c>
      <c r="G16" s="141">
        <f t="shared" si="0"/>
        <v>0</v>
      </c>
      <c r="H16" s="141">
        <f t="shared" si="1"/>
        <v>0</v>
      </c>
      <c r="I16" s="141">
        <f t="shared" si="1"/>
        <v>1.3533527267437006E-15</v>
      </c>
      <c r="J16" s="138" t="str">
        <f>IF(EINGABEN!C16="","",EINGABEN!C16)</f>
        <v/>
      </c>
      <c r="K16" s="138" t="str">
        <f t="shared" si="4"/>
        <v/>
      </c>
      <c r="L16" s="61" t="str">
        <f t="shared" si="5"/>
        <v/>
      </c>
      <c r="M16" s="61" t="str">
        <f t="shared" si="6"/>
        <v/>
      </c>
      <c r="N16" s="61"/>
      <c r="O16" s="61"/>
      <c r="Q16" s="139"/>
      <c r="R16" s="139"/>
      <c r="S16" s="139"/>
    </row>
    <row r="17" spans="1:19" x14ac:dyDescent="0.3">
      <c r="A17" s="150">
        <f>EINGABEN!C17</f>
        <v>0</v>
      </c>
      <c r="B17" s="170">
        <f>EINGABEN!F17</f>
        <v>2.7182818284590451</v>
      </c>
      <c r="C17" s="106"/>
      <c r="D17" s="106">
        <f t="shared" si="2"/>
        <v>0</v>
      </c>
      <c r="E17" s="106">
        <f t="shared" si="3"/>
        <v>3.6787942681586594E-8</v>
      </c>
      <c r="F17" s="151">
        <f>((-LN((C52*(2.71828183^(C54*D17)))^-1)))</f>
        <v>0.35064701240963791</v>
      </c>
      <c r="G17" s="141">
        <f t="shared" si="0"/>
        <v>0</v>
      </c>
      <c r="H17" s="141">
        <f t="shared" si="1"/>
        <v>0</v>
      </c>
      <c r="I17" s="141">
        <f t="shared" si="1"/>
        <v>1.3533527267437006E-15</v>
      </c>
      <c r="J17" s="138" t="str">
        <f>IF(EINGABEN!C17="","",EINGABEN!C17)</f>
        <v/>
      </c>
      <c r="K17" s="138" t="str">
        <f t="shared" si="4"/>
        <v/>
      </c>
      <c r="L17" s="61" t="str">
        <f t="shared" si="5"/>
        <v/>
      </c>
      <c r="M17" s="61" t="str">
        <f t="shared" si="6"/>
        <v/>
      </c>
      <c r="N17" s="61"/>
      <c r="O17" s="61"/>
      <c r="Q17" s="139"/>
      <c r="R17" s="139"/>
      <c r="S17" s="139"/>
    </row>
    <row r="18" spans="1:19" x14ac:dyDescent="0.3">
      <c r="A18" s="150">
        <f>EINGABEN!C18</f>
        <v>0</v>
      </c>
      <c r="B18" s="170">
        <f>EINGABEN!F18</f>
        <v>2.7182818284590451</v>
      </c>
      <c r="C18" s="106"/>
      <c r="D18" s="106">
        <f t="shared" si="2"/>
        <v>0</v>
      </c>
      <c r="E18" s="106">
        <f t="shared" si="3"/>
        <v>3.6787942681586594E-8</v>
      </c>
      <c r="F18" s="151">
        <f>((-LN((C52*(2.71828183^(C54*D18)))^-1)))</f>
        <v>0.35064701240963791</v>
      </c>
      <c r="G18" s="141">
        <f t="shared" si="0"/>
        <v>0</v>
      </c>
      <c r="H18" s="141">
        <f t="shared" si="1"/>
        <v>0</v>
      </c>
      <c r="I18" s="141">
        <f t="shared" si="1"/>
        <v>1.3533527267437006E-15</v>
      </c>
      <c r="J18" s="138" t="str">
        <f>IF(EINGABEN!C18="","",EINGABEN!C18)</f>
        <v/>
      </c>
      <c r="K18" s="138" t="str">
        <f t="shared" si="4"/>
        <v/>
      </c>
      <c r="L18" s="61" t="str">
        <f t="shared" si="5"/>
        <v/>
      </c>
      <c r="M18" s="61" t="str">
        <f t="shared" si="6"/>
        <v/>
      </c>
      <c r="N18" s="61"/>
      <c r="O18" s="61"/>
      <c r="Q18" s="139"/>
      <c r="R18" s="139"/>
      <c r="S18" s="139"/>
    </row>
    <row r="19" spans="1:19" x14ac:dyDescent="0.3">
      <c r="A19" s="150">
        <f>EINGABEN!C19</f>
        <v>0</v>
      </c>
      <c r="B19" s="170">
        <f>EINGABEN!F19</f>
        <v>2.7182818284590451</v>
      </c>
      <c r="C19" s="106"/>
      <c r="D19" s="106">
        <f t="shared" si="2"/>
        <v>0</v>
      </c>
      <c r="E19" s="106">
        <f t="shared" si="3"/>
        <v>3.6787942681586594E-8</v>
      </c>
      <c r="F19" s="151">
        <f>((-LN((C52*(2.71828183^(C54*D19)))^-1)))</f>
        <v>0.35064701240963791</v>
      </c>
      <c r="G19" s="141">
        <f t="shared" si="0"/>
        <v>0</v>
      </c>
      <c r="H19" s="141">
        <f t="shared" si="1"/>
        <v>0</v>
      </c>
      <c r="I19" s="141">
        <f t="shared" si="1"/>
        <v>1.3533527267437006E-15</v>
      </c>
      <c r="J19" s="138" t="str">
        <f>IF(EINGABEN!C19="","",EINGABEN!C19)</f>
        <v/>
      </c>
      <c r="K19" s="138" t="str">
        <f t="shared" si="4"/>
        <v/>
      </c>
      <c r="L19" s="61" t="str">
        <f t="shared" si="5"/>
        <v/>
      </c>
      <c r="M19" s="61" t="str">
        <f t="shared" si="6"/>
        <v/>
      </c>
      <c r="N19" s="61"/>
      <c r="O19" s="61"/>
      <c r="Q19" s="139"/>
      <c r="R19" s="139"/>
      <c r="S19" s="139"/>
    </row>
    <row r="20" spans="1:19" x14ac:dyDescent="0.3">
      <c r="A20" s="150">
        <f>EINGABEN!C20</f>
        <v>0</v>
      </c>
      <c r="B20" s="170">
        <f>EINGABEN!F20</f>
        <v>2.7182818284590451</v>
      </c>
      <c r="C20" s="106"/>
      <c r="D20" s="106">
        <f t="shared" si="2"/>
        <v>0</v>
      </c>
      <c r="E20" s="106">
        <f t="shared" si="3"/>
        <v>3.6787942681586594E-8</v>
      </c>
      <c r="F20" s="151">
        <f>((-LN((C52*(2.71828183^(C54*D20)))^-1)))</f>
        <v>0.35064701240963791</v>
      </c>
      <c r="G20" s="141">
        <f t="shared" si="0"/>
        <v>0</v>
      </c>
      <c r="H20" s="141">
        <f t="shared" si="1"/>
        <v>0</v>
      </c>
      <c r="I20" s="141">
        <f t="shared" si="1"/>
        <v>1.3533527267437006E-15</v>
      </c>
      <c r="J20" s="138" t="str">
        <f>IF(EINGABEN!C20="","",EINGABEN!C20)</f>
        <v/>
      </c>
      <c r="K20" s="138" t="str">
        <f t="shared" si="4"/>
        <v/>
      </c>
      <c r="L20" s="61" t="str">
        <f t="shared" si="5"/>
        <v/>
      </c>
      <c r="M20" s="61" t="str">
        <f t="shared" si="6"/>
        <v/>
      </c>
      <c r="N20" s="61"/>
      <c r="O20" s="61"/>
      <c r="Q20" s="139"/>
      <c r="R20" s="139"/>
      <c r="S20" s="139"/>
    </row>
    <row r="21" spans="1:19" x14ac:dyDescent="0.3">
      <c r="A21" s="150">
        <f>EINGABEN!C21</f>
        <v>0</v>
      </c>
      <c r="B21" s="170">
        <f>EINGABEN!F21</f>
        <v>2.7182818284590451</v>
      </c>
      <c r="C21" s="106"/>
      <c r="D21" s="106">
        <f t="shared" si="2"/>
        <v>0</v>
      </c>
      <c r="E21" s="106">
        <f t="shared" si="3"/>
        <v>3.6787942681586594E-8</v>
      </c>
      <c r="F21" s="151">
        <f>((-LN((C52*(2.71828183^(C54*D21)))^-1)))</f>
        <v>0.35064701240963791</v>
      </c>
      <c r="G21" s="141">
        <f t="shared" si="0"/>
        <v>0</v>
      </c>
      <c r="H21" s="141">
        <f t="shared" si="1"/>
        <v>0</v>
      </c>
      <c r="I21" s="141">
        <f t="shared" si="1"/>
        <v>1.3533527267437006E-15</v>
      </c>
      <c r="J21" s="138" t="str">
        <f>IF(EINGABEN!C21="","",EINGABEN!C21)</f>
        <v/>
      </c>
      <c r="K21" s="138" t="str">
        <f t="shared" si="4"/>
        <v/>
      </c>
      <c r="L21" s="61" t="str">
        <f t="shared" si="5"/>
        <v/>
      </c>
      <c r="M21" s="61" t="str">
        <f t="shared" si="6"/>
        <v/>
      </c>
      <c r="N21" s="61"/>
      <c r="O21" s="61"/>
      <c r="Q21" s="139"/>
      <c r="R21" s="139"/>
      <c r="S21" s="139"/>
    </row>
    <row r="22" spans="1:19" x14ac:dyDescent="0.3">
      <c r="A22" s="150">
        <f>EINGABEN!C22</f>
        <v>0</v>
      </c>
      <c r="B22" s="170">
        <f>EINGABEN!F22</f>
        <v>2.7182818284590451</v>
      </c>
      <c r="C22" s="106"/>
      <c r="D22" s="106">
        <f t="shared" si="2"/>
        <v>0</v>
      </c>
      <c r="E22" s="106">
        <f t="shared" si="3"/>
        <v>3.6787942681586594E-8</v>
      </c>
      <c r="F22" s="151">
        <f>((-LN((C52*(2.71828183^(C54*D22)))^-1)))</f>
        <v>0.35064701240963791</v>
      </c>
      <c r="G22" s="141">
        <f t="shared" si="0"/>
        <v>0</v>
      </c>
      <c r="H22" s="141">
        <f t="shared" si="1"/>
        <v>0</v>
      </c>
      <c r="I22" s="141">
        <f t="shared" si="1"/>
        <v>1.3533527267437006E-15</v>
      </c>
      <c r="J22" s="138" t="str">
        <f>IF(EINGABEN!C22="","",EINGABEN!C22)</f>
        <v/>
      </c>
      <c r="K22" s="138" t="str">
        <f t="shared" si="4"/>
        <v/>
      </c>
      <c r="L22" s="61" t="str">
        <f t="shared" si="5"/>
        <v/>
      </c>
      <c r="M22" s="61" t="str">
        <f t="shared" si="6"/>
        <v/>
      </c>
      <c r="N22" s="61"/>
      <c r="O22" s="61"/>
      <c r="Q22" s="139"/>
      <c r="R22" s="139"/>
      <c r="S22" s="139"/>
    </row>
    <row r="23" spans="1:19" x14ac:dyDescent="0.3">
      <c r="A23" s="150">
        <f>EINGABEN!C23</f>
        <v>0</v>
      </c>
      <c r="B23" s="170">
        <f>EINGABEN!F23</f>
        <v>2.7182818284590451</v>
      </c>
      <c r="C23" s="106"/>
      <c r="D23" s="106">
        <f t="shared" si="2"/>
        <v>0</v>
      </c>
      <c r="E23" s="106">
        <f t="shared" si="3"/>
        <v>3.6787942681586594E-8</v>
      </c>
      <c r="F23" s="151">
        <f>((-LN((C52*(2.71828183^(C54*D23)))^-1)))</f>
        <v>0.35064701240963791</v>
      </c>
      <c r="G23" s="141">
        <f t="shared" si="0"/>
        <v>0</v>
      </c>
      <c r="H23" s="141">
        <f t="shared" si="1"/>
        <v>0</v>
      </c>
      <c r="I23" s="141">
        <f t="shared" si="1"/>
        <v>1.3533527267437006E-15</v>
      </c>
      <c r="J23" s="138" t="str">
        <f>IF(EINGABEN!C23="","",EINGABEN!C23)</f>
        <v/>
      </c>
      <c r="K23" s="138" t="str">
        <f t="shared" si="4"/>
        <v/>
      </c>
      <c r="L23" s="61" t="str">
        <f t="shared" si="5"/>
        <v/>
      </c>
      <c r="M23" s="61" t="str">
        <f t="shared" si="6"/>
        <v/>
      </c>
      <c r="N23" s="61"/>
      <c r="O23" s="61"/>
      <c r="Q23" s="139"/>
      <c r="R23" s="139"/>
      <c r="S23" s="139"/>
    </row>
    <row r="24" spans="1:19" x14ac:dyDescent="0.3">
      <c r="A24" s="150">
        <f>EINGABEN!C24</f>
        <v>0</v>
      </c>
      <c r="B24" s="170">
        <f>EINGABEN!F24</f>
        <v>2.7182818284590451</v>
      </c>
      <c r="C24" s="106"/>
      <c r="D24" s="106">
        <f t="shared" si="2"/>
        <v>0</v>
      </c>
      <c r="E24" s="106">
        <f t="shared" si="3"/>
        <v>3.6787942681586594E-8</v>
      </c>
      <c r="F24" s="151">
        <f>((-LN((C52*(2.71828183^(C54*D24)))^-1)))</f>
        <v>0.35064701240963791</v>
      </c>
      <c r="G24" s="141">
        <f t="shared" si="0"/>
        <v>0</v>
      </c>
      <c r="H24" s="141">
        <f t="shared" si="1"/>
        <v>0</v>
      </c>
      <c r="I24" s="141">
        <f t="shared" si="1"/>
        <v>1.3533527267437006E-15</v>
      </c>
      <c r="J24" s="138" t="str">
        <f>IF(EINGABEN!C24="","",EINGABEN!C24)</f>
        <v/>
      </c>
      <c r="K24" s="138" t="str">
        <f t="shared" si="4"/>
        <v/>
      </c>
      <c r="L24" s="61" t="str">
        <f t="shared" si="5"/>
        <v/>
      </c>
      <c r="M24" s="61" t="str">
        <f t="shared" si="6"/>
        <v/>
      </c>
      <c r="N24" s="61"/>
      <c r="O24" s="61"/>
      <c r="Q24" s="139"/>
      <c r="R24" s="139"/>
      <c r="S24" s="139"/>
    </row>
    <row r="25" spans="1:19" x14ac:dyDescent="0.3">
      <c r="A25" s="150">
        <f>EINGABEN!C25</f>
        <v>0</v>
      </c>
      <c r="B25" s="170">
        <f>EINGABEN!F25</f>
        <v>2.7182818284590451</v>
      </c>
      <c r="C25" s="106"/>
      <c r="D25" s="106">
        <f t="shared" si="2"/>
        <v>0</v>
      </c>
      <c r="E25" s="106">
        <f t="shared" si="3"/>
        <v>3.6787942681586594E-8</v>
      </c>
      <c r="F25" s="151">
        <f>((-LN((C52*(2.71828183^(C54*D25)))^-1)))</f>
        <v>0.35064701240963791</v>
      </c>
      <c r="G25" s="141">
        <f t="shared" si="0"/>
        <v>0</v>
      </c>
      <c r="H25" s="141">
        <f t="shared" si="1"/>
        <v>0</v>
      </c>
      <c r="I25" s="141">
        <f t="shared" si="1"/>
        <v>1.3533527267437006E-15</v>
      </c>
      <c r="J25" s="138" t="str">
        <f>IF(EINGABEN!C25="","",EINGABEN!C25)</f>
        <v/>
      </c>
      <c r="K25" s="138" t="str">
        <f t="shared" si="4"/>
        <v/>
      </c>
      <c r="L25" s="61" t="str">
        <f t="shared" si="5"/>
        <v/>
      </c>
      <c r="M25" s="61" t="str">
        <f t="shared" si="6"/>
        <v/>
      </c>
      <c r="N25" s="61"/>
      <c r="O25" s="61"/>
      <c r="Q25" s="139"/>
      <c r="R25" s="139"/>
      <c r="S25" s="139"/>
    </row>
    <row r="26" spans="1:19" x14ac:dyDescent="0.3">
      <c r="A26" s="150">
        <f>EINGABEN!C26</f>
        <v>0</v>
      </c>
      <c r="B26" s="170">
        <f>EINGABEN!F26</f>
        <v>2.7182818284590451</v>
      </c>
      <c r="C26" s="106"/>
      <c r="D26" s="106">
        <f t="shared" si="2"/>
        <v>0</v>
      </c>
      <c r="E26" s="106">
        <f t="shared" si="3"/>
        <v>3.6787942681586594E-8</v>
      </c>
      <c r="F26" s="151">
        <f>((-LN((C52*(2.71828183^(C54*D26)))^-1)))</f>
        <v>0.35064701240963791</v>
      </c>
      <c r="G26" s="141">
        <f t="shared" si="0"/>
        <v>0</v>
      </c>
      <c r="H26" s="141">
        <f t="shared" si="1"/>
        <v>0</v>
      </c>
      <c r="I26" s="141">
        <f t="shared" si="1"/>
        <v>1.3533527267437006E-15</v>
      </c>
      <c r="J26" s="138" t="str">
        <f>IF(EINGABEN!C26="","",EINGABEN!C26)</f>
        <v/>
      </c>
      <c r="K26" s="138" t="str">
        <f t="shared" si="4"/>
        <v/>
      </c>
      <c r="L26" s="138" t="str">
        <f t="shared" si="5"/>
        <v/>
      </c>
      <c r="M26" s="138" t="str">
        <f t="shared" si="6"/>
        <v/>
      </c>
      <c r="N26" s="138"/>
      <c r="O26" s="138"/>
      <c r="P26" s="139"/>
      <c r="Q26" s="139"/>
      <c r="R26" s="139"/>
      <c r="S26" s="139"/>
    </row>
    <row r="27" spans="1:19" x14ac:dyDescent="0.3">
      <c r="A27" s="150">
        <f>EINGABEN!C27</f>
        <v>0</v>
      </c>
      <c r="B27" s="170">
        <f>EINGABEN!F27</f>
        <v>2.7182818284590451</v>
      </c>
      <c r="C27" s="106"/>
      <c r="D27" s="106">
        <f t="shared" si="2"/>
        <v>0</v>
      </c>
      <c r="E27" s="106">
        <f t="shared" si="3"/>
        <v>3.6787942681586594E-8</v>
      </c>
      <c r="F27" s="151">
        <f>((-LN((C52*(2.71828183^(C54*D27)))^-1)))</f>
        <v>0.35064701240963791</v>
      </c>
      <c r="G27" s="141">
        <f t="shared" si="0"/>
        <v>0</v>
      </c>
      <c r="H27" s="141">
        <f t="shared" si="1"/>
        <v>0</v>
      </c>
      <c r="I27" s="141">
        <f t="shared" si="1"/>
        <v>1.3533527267437006E-15</v>
      </c>
      <c r="J27" s="138" t="str">
        <f>IF(EINGABEN!C27="","",EINGABEN!C27)</f>
        <v/>
      </c>
      <c r="K27" s="138" t="str">
        <f t="shared" si="4"/>
        <v/>
      </c>
      <c r="L27" s="138" t="str">
        <f t="shared" si="5"/>
        <v/>
      </c>
      <c r="M27" s="138" t="str">
        <f t="shared" si="6"/>
        <v/>
      </c>
      <c r="N27" s="138"/>
      <c r="O27" s="138"/>
      <c r="P27" s="139"/>
      <c r="Q27" s="139"/>
      <c r="R27" s="139"/>
      <c r="S27" s="139"/>
    </row>
    <row r="28" spans="1:19" x14ac:dyDescent="0.3">
      <c r="A28" s="150">
        <f>EINGABEN!C28</f>
        <v>0</v>
      </c>
      <c r="B28" s="170">
        <f>EINGABEN!F28</f>
        <v>2.7182818284590451</v>
      </c>
      <c r="C28" s="106"/>
      <c r="D28" s="106">
        <f t="shared" si="2"/>
        <v>0</v>
      </c>
      <c r="E28" s="106">
        <f t="shared" si="3"/>
        <v>3.6787942681586594E-8</v>
      </c>
      <c r="F28" s="151">
        <f>((-LN((C52*(2.71828183^(C54*D28)))^-1)))</f>
        <v>0.35064701240963791</v>
      </c>
      <c r="G28" s="141">
        <f t="shared" si="0"/>
        <v>0</v>
      </c>
      <c r="H28" s="141">
        <f t="shared" si="1"/>
        <v>0</v>
      </c>
      <c r="I28" s="141">
        <f t="shared" si="1"/>
        <v>1.3533527267437006E-15</v>
      </c>
      <c r="J28" s="139" t="str">
        <f>IF(EINGABEN!C28="","",EINGABEN!C28)</f>
        <v/>
      </c>
      <c r="K28" s="139" t="str">
        <f t="shared" si="4"/>
        <v/>
      </c>
      <c r="L28" s="139" t="str">
        <f t="shared" si="5"/>
        <v/>
      </c>
      <c r="M28" s="139" t="str">
        <f t="shared" si="6"/>
        <v/>
      </c>
      <c r="N28" s="139"/>
      <c r="O28" s="138"/>
      <c r="P28" s="139"/>
      <c r="Q28" s="139"/>
      <c r="R28" s="139"/>
      <c r="S28" s="139"/>
    </row>
    <row r="29" spans="1:19" x14ac:dyDescent="0.3">
      <c r="A29" s="150">
        <f>EINGABEN!C29</f>
        <v>0</v>
      </c>
      <c r="B29" s="170">
        <f>EINGABEN!F29</f>
        <v>2.7182818284590451</v>
      </c>
      <c r="C29" s="106"/>
      <c r="D29" s="106">
        <f t="shared" si="2"/>
        <v>0</v>
      </c>
      <c r="E29" s="106">
        <f t="shared" si="3"/>
        <v>3.6787942681586594E-8</v>
      </c>
      <c r="F29" s="151">
        <f>((-LN((C52*(2.71828183^(C54*D29)))^-1)))</f>
        <v>0.35064701240963791</v>
      </c>
      <c r="G29" s="141">
        <f t="shared" si="0"/>
        <v>0</v>
      </c>
      <c r="H29" s="141">
        <f t="shared" si="1"/>
        <v>0</v>
      </c>
      <c r="I29" s="141">
        <f t="shared" si="1"/>
        <v>1.3533527267437006E-15</v>
      </c>
      <c r="J29" s="139" t="str">
        <f>IF(EINGABEN!C29="","",EINGABEN!C29)</f>
        <v/>
      </c>
      <c r="K29" s="139" t="str">
        <f t="shared" si="4"/>
        <v/>
      </c>
      <c r="L29" s="139" t="str">
        <f t="shared" si="5"/>
        <v/>
      </c>
      <c r="M29" s="139" t="str">
        <f t="shared" si="6"/>
        <v/>
      </c>
      <c r="N29" s="139"/>
      <c r="O29" s="138"/>
      <c r="P29" s="139"/>
      <c r="Q29" s="139"/>
      <c r="R29" s="139"/>
      <c r="S29" s="139"/>
    </row>
    <row r="30" spans="1:19" x14ac:dyDescent="0.3">
      <c r="A30" s="150">
        <f>EINGABEN!C30</f>
        <v>0</v>
      </c>
      <c r="B30" s="170">
        <f>EINGABEN!F30</f>
        <v>2.7182818284590451</v>
      </c>
      <c r="C30" s="106"/>
      <c r="D30" s="106">
        <f t="shared" si="2"/>
        <v>0</v>
      </c>
      <c r="E30" s="106">
        <f t="shared" si="3"/>
        <v>3.6787942681586594E-8</v>
      </c>
      <c r="F30" s="151">
        <f>((-LN((C52*(2.71828183^(C54*D30)))^-1)))</f>
        <v>0.35064701240963791</v>
      </c>
      <c r="G30" s="141">
        <f t="shared" si="0"/>
        <v>0</v>
      </c>
      <c r="H30" s="141">
        <f t="shared" si="1"/>
        <v>0</v>
      </c>
      <c r="I30" s="141">
        <f t="shared" si="1"/>
        <v>1.3533527267437006E-15</v>
      </c>
      <c r="J30" s="139" t="str">
        <f>IF(EINGABEN!C30="","",EINGABEN!C30)</f>
        <v/>
      </c>
      <c r="K30" s="139" t="str">
        <f t="shared" si="4"/>
        <v/>
      </c>
      <c r="L30" s="139" t="str">
        <f t="shared" si="5"/>
        <v/>
      </c>
      <c r="M30" s="139" t="str">
        <f t="shared" si="6"/>
        <v/>
      </c>
      <c r="N30" s="139"/>
      <c r="O30" s="138"/>
      <c r="P30" s="139"/>
      <c r="Q30" s="139"/>
      <c r="R30" s="139"/>
      <c r="S30" s="139"/>
    </row>
    <row r="31" spans="1:19" x14ac:dyDescent="0.3">
      <c r="A31" s="150">
        <f>EINGABEN!C31</f>
        <v>0</v>
      </c>
      <c r="B31" s="170">
        <f>EINGABEN!F31</f>
        <v>2.7182818284590451</v>
      </c>
      <c r="C31" s="106"/>
      <c r="D31" s="106">
        <f t="shared" si="2"/>
        <v>0</v>
      </c>
      <c r="E31" s="106">
        <f t="shared" si="3"/>
        <v>3.6787942681586594E-8</v>
      </c>
      <c r="F31" s="151">
        <f>((-LN((C52*(2.71828183^(C54*D31)))^-1)))</f>
        <v>0.35064701240963791</v>
      </c>
      <c r="G31" s="141">
        <f t="shared" si="0"/>
        <v>0</v>
      </c>
      <c r="H31" s="141">
        <f t="shared" si="1"/>
        <v>0</v>
      </c>
      <c r="I31" s="141">
        <f t="shared" si="1"/>
        <v>1.3533527267437006E-15</v>
      </c>
      <c r="J31" s="139" t="str">
        <f>IF(EINGABEN!C31="","",EINGABEN!C31)</f>
        <v/>
      </c>
      <c r="K31" s="139" t="str">
        <f t="shared" si="4"/>
        <v/>
      </c>
      <c r="L31" s="139" t="str">
        <f t="shared" si="5"/>
        <v/>
      </c>
      <c r="M31" s="139" t="str">
        <f t="shared" si="6"/>
        <v/>
      </c>
      <c r="N31" s="139"/>
      <c r="O31" s="138"/>
      <c r="P31" s="139"/>
      <c r="Q31" s="139"/>
      <c r="R31" s="139"/>
      <c r="S31" s="139"/>
    </row>
    <row r="32" spans="1:19" x14ac:dyDescent="0.3">
      <c r="A32" s="150">
        <f>EINGABEN!C32</f>
        <v>0</v>
      </c>
      <c r="B32" s="170">
        <f>EINGABEN!F32</f>
        <v>2.7182818284590451</v>
      </c>
      <c r="C32" s="106"/>
      <c r="D32" s="106">
        <f t="shared" si="2"/>
        <v>0</v>
      </c>
      <c r="E32" s="106">
        <f t="shared" si="3"/>
        <v>3.6787942681586594E-8</v>
      </c>
      <c r="F32" s="151">
        <f>((-LN((C52*(2.71828183^(C54*D32)))^-1)))</f>
        <v>0.35064701240963791</v>
      </c>
      <c r="G32" s="141">
        <f t="shared" si="0"/>
        <v>0</v>
      </c>
      <c r="H32" s="141">
        <f t="shared" si="1"/>
        <v>0</v>
      </c>
      <c r="I32" s="141">
        <f t="shared" si="1"/>
        <v>1.3533527267437006E-15</v>
      </c>
      <c r="J32" s="139" t="str">
        <f>IF(EINGABEN!C32="","",EINGABEN!C32)</f>
        <v/>
      </c>
      <c r="K32" s="139" t="str">
        <f t="shared" si="4"/>
        <v/>
      </c>
      <c r="L32" s="139" t="str">
        <f t="shared" si="5"/>
        <v/>
      </c>
      <c r="M32" s="139" t="str">
        <f t="shared" si="6"/>
        <v/>
      </c>
      <c r="N32" s="139"/>
      <c r="O32" s="138"/>
      <c r="P32" s="139"/>
      <c r="Q32" s="139"/>
      <c r="R32" s="139"/>
      <c r="S32" s="139"/>
    </row>
    <row r="33" spans="1:19" x14ac:dyDescent="0.3">
      <c r="A33" s="150">
        <f>EINGABEN!C33</f>
        <v>0</v>
      </c>
      <c r="B33" s="170">
        <f>EINGABEN!F33</f>
        <v>2.7182818284590451</v>
      </c>
      <c r="C33" s="106"/>
      <c r="D33" s="106">
        <f t="shared" si="2"/>
        <v>0</v>
      </c>
      <c r="E33" s="106">
        <f t="shared" si="3"/>
        <v>3.6787942681586594E-8</v>
      </c>
      <c r="F33" s="151">
        <f>((-LN((C52*(2.71828183^(C54*D33)))^-1)))</f>
        <v>0.35064701240963791</v>
      </c>
      <c r="G33" s="141">
        <f t="shared" si="0"/>
        <v>0</v>
      </c>
      <c r="H33" s="141">
        <f t="shared" si="1"/>
        <v>0</v>
      </c>
      <c r="I33" s="141">
        <f t="shared" si="1"/>
        <v>1.3533527267437006E-15</v>
      </c>
      <c r="J33" s="139" t="str">
        <f>IF(EINGABEN!C33="","",EINGABEN!C33)</f>
        <v/>
      </c>
      <c r="K33" s="139" t="str">
        <f t="shared" si="4"/>
        <v/>
      </c>
      <c r="L33" s="139" t="str">
        <f t="shared" si="5"/>
        <v/>
      </c>
      <c r="M33" s="139" t="str">
        <f t="shared" si="6"/>
        <v/>
      </c>
      <c r="N33" s="139"/>
      <c r="O33" s="138"/>
      <c r="P33" s="139"/>
      <c r="Q33" s="139"/>
      <c r="R33" s="139"/>
      <c r="S33" s="139"/>
    </row>
    <row r="34" spans="1:19" x14ac:dyDescent="0.3">
      <c r="A34" s="150">
        <f>EINGABEN!C34</f>
        <v>0</v>
      </c>
      <c r="B34" s="170">
        <f>EINGABEN!F34</f>
        <v>2.7182818284590451</v>
      </c>
      <c r="C34" s="106"/>
      <c r="D34" s="106">
        <f t="shared" si="2"/>
        <v>0</v>
      </c>
      <c r="E34" s="106">
        <f t="shared" si="3"/>
        <v>3.6787942681586594E-8</v>
      </c>
      <c r="F34" s="151">
        <f>((-LN((C52*(2.71828183^(C54*D34)))^-1)))</f>
        <v>0.35064701240963791</v>
      </c>
      <c r="G34" s="141">
        <f t="shared" si="0"/>
        <v>0</v>
      </c>
      <c r="H34" s="141">
        <f t="shared" si="1"/>
        <v>0</v>
      </c>
      <c r="I34" s="141">
        <f t="shared" si="1"/>
        <v>1.3533527267437006E-15</v>
      </c>
      <c r="J34" s="139" t="str">
        <f>IF(EINGABEN!C34="","",EINGABEN!C34)</f>
        <v/>
      </c>
      <c r="K34" s="139" t="str">
        <f t="shared" si="4"/>
        <v/>
      </c>
      <c r="L34" s="139" t="str">
        <f t="shared" si="5"/>
        <v/>
      </c>
      <c r="M34" s="139" t="str">
        <f t="shared" si="6"/>
        <v/>
      </c>
      <c r="N34" s="139"/>
      <c r="O34" s="138"/>
      <c r="P34" s="139"/>
      <c r="Q34" s="139"/>
      <c r="R34" s="139"/>
      <c r="S34" s="139"/>
    </row>
    <row r="35" spans="1:19" x14ac:dyDescent="0.3">
      <c r="A35" s="150">
        <f>EINGABEN!C35</f>
        <v>0</v>
      </c>
      <c r="B35" s="170">
        <f>EINGABEN!F35</f>
        <v>2.7182818284590451</v>
      </c>
      <c r="C35" s="106"/>
      <c r="D35" s="106">
        <f t="shared" si="2"/>
        <v>0</v>
      </c>
      <c r="E35" s="106">
        <f t="shared" si="3"/>
        <v>3.6787942681586594E-8</v>
      </c>
      <c r="F35" s="151">
        <f>((-LN((C52*(2.71828183^(C54*D35)))^-1)))</f>
        <v>0.35064701240963791</v>
      </c>
      <c r="G35" s="141">
        <f t="shared" si="0"/>
        <v>0</v>
      </c>
      <c r="H35" s="141">
        <f t="shared" si="1"/>
        <v>0</v>
      </c>
      <c r="I35" s="141">
        <f t="shared" si="1"/>
        <v>1.3533527267437006E-15</v>
      </c>
      <c r="J35" s="139" t="str">
        <f>IF(EINGABEN!C35="","",EINGABEN!C35)</f>
        <v/>
      </c>
      <c r="K35" s="139" t="str">
        <f t="shared" si="4"/>
        <v/>
      </c>
      <c r="L35" s="139" t="str">
        <f t="shared" si="5"/>
        <v/>
      </c>
      <c r="M35" s="139" t="str">
        <f t="shared" si="6"/>
        <v/>
      </c>
      <c r="N35" s="139"/>
      <c r="O35" s="138"/>
      <c r="P35" s="139"/>
      <c r="Q35" s="139"/>
      <c r="R35" s="139"/>
      <c r="S35" s="139"/>
    </row>
    <row r="36" spans="1:19" x14ac:dyDescent="0.3">
      <c r="A36" s="150">
        <f>EINGABEN!C36</f>
        <v>0</v>
      </c>
      <c r="B36" s="170">
        <f>EINGABEN!F36</f>
        <v>2.7182818284590451</v>
      </c>
      <c r="C36" s="106"/>
      <c r="D36" s="106">
        <f t="shared" si="2"/>
        <v>0</v>
      </c>
      <c r="E36" s="106">
        <f t="shared" si="3"/>
        <v>3.6787942681586594E-8</v>
      </c>
      <c r="F36" s="151">
        <f>((-LN((C52*(2.71828183^(C54*D36)))^-1)))</f>
        <v>0.35064701240963791</v>
      </c>
      <c r="G36" s="141">
        <f t="shared" si="0"/>
        <v>0</v>
      </c>
      <c r="H36" s="141">
        <f t="shared" si="1"/>
        <v>0</v>
      </c>
      <c r="I36" s="141">
        <f t="shared" si="1"/>
        <v>1.3533527267437006E-15</v>
      </c>
      <c r="J36" s="139" t="str">
        <f>IF(EINGABEN!C36="","",EINGABEN!C36)</f>
        <v/>
      </c>
      <c r="K36" s="139" t="str">
        <f t="shared" si="4"/>
        <v/>
      </c>
      <c r="L36" s="139" t="str">
        <f t="shared" si="5"/>
        <v/>
      </c>
      <c r="M36" s="139" t="str">
        <f t="shared" si="6"/>
        <v/>
      </c>
      <c r="N36" s="139"/>
      <c r="O36" s="138"/>
      <c r="P36" s="139"/>
      <c r="Q36" s="139"/>
      <c r="R36" s="139"/>
      <c r="S36" s="139"/>
    </row>
    <row r="37" spans="1:19" x14ac:dyDescent="0.3">
      <c r="A37" s="150">
        <f>EINGABEN!C37</f>
        <v>0</v>
      </c>
      <c r="B37" s="170">
        <f>EINGABEN!F37</f>
        <v>2.7182818284590451</v>
      </c>
      <c r="C37" s="106"/>
      <c r="D37" s="106">
        <f t="shared" si="2"/>
        <v>0</v>
      </c>
      <c r="E37" s="106">
        <f t="shared" si="3"/>
        <v>3.6787942681586594E-8</v>
      </c>
      <c r="F37" s="151">
        <f>((-LN((C52*(2.71828183^(C54*D37)))^-1)))</f>
        <v>0.35064701240963791</v>
      </c>
      <c r="G37" s="141">
        <f t="shared" si="0"/>
        <v>0</v>
      </c>
      <c r="H37" s="141">
        <f t="shared" si="1"/>
        <v>0</v>
      </c>
      <c r="I37" s="141">
        <f t="shared" si="1"/>
        <v>1.3533527267437006E-15</v>
      </c>
      <c r="J37" s="139" t="str">
        <f>IF(EINGABEN!C37="","",EINGABEN!C37)</f>
        <v/>
      </c>
      <c r="K37" s="139" t="str">
        <f t="shared" si="4"/>
        <v/>
      </c>
      <c r="L37" s="139" t="str">
        <f t="shared" si="5"/>
        <v/>
      </c>
      <c r="M37" s="139" t="str">
        <f t="shared" si="6"/>
        <v/>
      </c>
      <c r="N37" s="139"/>
      <c r="O37" s="138"/>
      <c r="P37" s="139"/>
      <c r="Q37" s="139"/>
      <c r="R37" s="139"/>
      <c r="S37" s="139"/>
    </row>
    <row r="38" spans="1:19" x14ac:dyDescent="0.3">
      <c r="A38" s="150">
        <f>EINGABEN!C38</f>
        <v>0</v>
      </c>
      <c r="B38" s="170">
        <f>EINGABEN!F38</f>
        <v>2.7182818284590451</v>
      </c>
      <c r="C38" s="106"/>
      <c r="D38" s="106">
        <f t="shared" si="2"/>
        <v>0</v>
      </c>
      <c r="E38" s="106">
        <f t="shared" si="3"/>
        <v>3.6787942681586594E-8</v>
      </c>
      <c r="F38" s="151">
        <f>((-LN((C52*(2.71828183^(C54*D38)))^-1)))</f>
        <v>0.35064701240963791</v>
      </c>
      <c r="G38" s="141">
        <f t="shared" si="0"/>
        <v>0</v>
      </c>
      <c r="H38" s="141">
        <f t="shared" si="1"/>
        <v>0</v>
      </c>
      <c r="I38" s="141">
        <f t="shared" si="1"/>
        <v>1.3533527267437006E-15</v>
      </c>
      <c r="J38" s="139" t="str">
        <f>IF(EINGABEN!C38="","",EINGABEN!C38)</f>
        <v/>
      </c>
      <c r="K38" s="139" t="str">
        <f t="shared" si="4"/>
        <v/>
      </c>
      <c r="L38" s="139" t="str">
        <f t="shared" si="5"/>
        <v/>
      </c>
      <c r="M38" s="139" t="str">
        <f t="shared" si="6"/>
        <v/>
      </c>
      <c r="N38" s="139"/>
      <c r="O38" s="138"/>
      <c r="P38" s="139"/>
      <c r="Q38" s="139"/>
      <c r="R38" s="139"/>
      <c r="S38" s="139"/>
    </row>
    <row r="39" spans="1:19" x14ac:dyDescent="0.3">
      <c r="A39" s="150">
        <f>EINGABEN!C39</f>
        <v>0</v>
      </c>
      <c r="B39" s="170">
        <f>EINGABEN!F39</f>
        <v>2.7182818284590451</v>
      </c>
      <c r="C39" s="106"/>
      <c r="D39" s="106">
        <f t="shared" si="2"/>
        <v>0</v>
      </c>
      <c r="E39" s="106">
        <f t="shared" si="3"/>
        <v>3.6787942681586594E-8</v>
      </c>
      <c r="F39" s="151">
        <f>((-LN((C52*(2.71828183^(C54*D39)))^-1)))</f>
        <v>0.35064701240963791</v>
      </c>
      <c r="G39" s="141">
        <f t="shared" si="0"/>
        <v>0</v>
      </c>
      <c r="H39" s="141">
        <f t="shared" si="1"/>
        <v>0</v>
      </c>
      <c r="I39" s="141">
        <f t="shared" si="1"/>
        <v>1.3533527267437006E-15</v>
      </c>
      <c r="J39" s="139" t="str">
        <f>IF(EINGABEN!C39="","",EINGABEN!C39)</f>
        <v/>
      </c>
      <c r="K39" s="139" t="str">
        <f t="shared" si="4"/>
        <v/>
      </c>
      <c r="L39" s="139" t="str">
        <f t="shared" si="5"/>
        <v/>
      </c>
      <c r="M39" s="139" t="str">
        <f t="shared" si="6"/>
        <v/>
      </c>
      <c r="N39" s="139"/>
      <c r="O39" s="138"/>
      <c r="P39" s="139"/>
      <c r="Q39" s="139"/>
      <c r="R39" s="139"/>
      <c r="S39" s="139"/>
    </row>
    <row r="40" spans="1:19" x14ac:dyDescent="0.3">
      <c r="A40" s="150">
        <f>EINGABEN!C40</f>
        <v>0</v>
      </c>
      <c r="B40" s="170">
        <f>EINGABEN!F40</f>
        <v>2.7182818284590451</v>
      </c>
      <c r="C40" s="106"/>
      <c r="D40" s="106">
        <f t="shared" si="2"/>
        <v>0</v>
      </c>
      <c r="E40" s="106">
        <f t="shared" si="3"/>
        <v>3.6787942681586594E-8</v>
      </c>
      <c r="F40" s="151">
        <f>((-LN((C52*(2.71828183^(C54*D40)))^-1)))</f>
        <v>0.35064701240963791</v>
      </c>
      <c r="G40" s="141">
        <f t="shared" si="0"/>
        <v>0</v>
      </c>
      <c r="H40" s="141">
        <f t="shared" si="1"/>
        <v>0</v>
      </c>
      <c r="I40" s="141">
        <f t="shared" si="1"/>
        <v>1.3533527267437006E-15</v>
      </c>
      <c r="J40" s="139" t="str">
        <f>IF(EINGABEN!C40="","",EINGABEN!C40)</f>
        <v/>
      </c>
      <c r="K40" s="139" t="str">
        <f t="shared" si="4"/>
        <v/>
      </c>
      <c r="L40" s="139" t="str">
        <f t="shared" si="5"/>
        <v/>
      </c>
      <c r="M40" s="139" t="str">
        <f t="shared" si="6"/>
        <v/>
      </c>
      <c r="N40" s="139"/>
      <c r="O40" s="138"/>
      <c r="P40" s="139"/>
      <c r="Q40" s="139"/>
      <c r="R40" s="139"/>
      <c r="S40" s="139"/>
    </row>
    <row r="41" spans="1:19" x14ac:dyDescent="0.3">
      <c r="A41" s="150">
        <f>EINGABEN!C41</f>
        <v>0</v>
      </c>
      <c r="B41" s="170">
        <f>EINGABEN!F41</f>
        <v>2.7182818284590451</v>
      </c>
      <c r="C41" s="106"/>
      <c r="D41" s="106">
        <f t="shared" si="2"/>
        <v>0</v>
      </c>
      <c r="E41" s="106">
        <f t="shared" si="3"/>
        <v>3.6787942681586594E-8</v>
      </c>
      <c r="F41" s="151">
        <f>((-LN((C52*(2.71828183^(C54*D41)))^-1)))</f>
        <v>0.35064701240963791</v>
      </c>
      <c r="G41" s="141">
        <f t="shared" si="0"/>
        <v>0</v>
      </c>
      <c r="H41" s="141">
        <f t="shared" si="1"/>
        <v>0</v>
      </c>
      <c r="I41" s="141">
        <f t="shared" si="1"/>
        <v>1.3533527267437006E-15</v>
      </c>
      <c r="J41" s="139" t="str">
        <f>IF(EINGABEN!C41="","",EINGABEN!C41)</f>
        <v/>
      </c>
      <c r="K41" s="139" t="str">
        <f t="shared" si="4"/>
        <v/>
      </c>
      <c r="L41" s="139" t="str">
        <f t="shared" si="5"/>
        <v/>
      </c>
      <c r="M41" s="139" t="str">
        <f t="shared" si="6"/>
        <v/>
      </c>
      <c r="N41" s="139"/>
      <c r="O41" s="138"/>
      <c r="P41" s="139"/>
      <c r="Q41" s="139"/>
      <c r="R41" s="139"/>
      <c r="S41" s="139"/>
    </row>
    <row r="42" spans="1:19" x14ac:dyDescent="0.3">
      <c r="A42" s="150">
        <f>EINGABEN!C42</f>
        <v>0</v>
      </c>
      <c r="B42" s="170">
        <f>EINGABEN!F42</f>
        <v>2.7182818284590451</v>
      </c>
      <c r="C42" s="106"/>
      <c r="D42" s="106">
        <f t="shared" si="2"/>
        <v>0</v>
      </c>
      <c r="E42" s="106">
        <f t="shared" si="3"/>
        <v>3.6787942681586594E-8</v>
      </c>
      <c r="F42" s="151">
        <f>((-LN((C52*(2.71828183^(C54*D42)))^-1)))</f>
        <v>0.35064701240963791</v>
      </c>
      <c r="G42" s="141">
        <f t="shared" si="0"/>
        <v>0</v>
      </c>
      <c r="H42" s="141">
        <f t="shared" si="1"/>
        <v>0</v>
      </c>
      <c r="I42" s="141">
        <f t="shared" si="1"/>
        <v>1.3533527267437006E-15</v>
      </c>
      <c r="J42" s="139" t="str">
        <f>IF(EINGABEN!C42="","",EINGABEN!C42)</f>
        <v/>
      </c>
      <c r="K42" s="139" t="str">
        <f t="shared" si="4"/>
        <v/>
      </c>
      <c r="L42" s="139" t="str">
        <f t="shared" si="5"/>
        <v/>
      </c>
      <c r="M42" s="139" t="str">
        <f t="shared" si="6"/>
        <v/>
      </c>
      <c r="N42" s="139"/>
      <c r="O42" s="138"/>
      <c r="P42" s="139"/>
      <c r="Q42" s="139"/>
      <c r="R42" s="139"/>
      <c r="S42" s="139"/>
    </row>
    <row r="43" spans="1:19" x14ac:dyDescent="0.3">
      <c r="A43" s="150">
        <f>EINGABEN!C43</f>
        <v>0</v>
      </c>
      <c r="B43" s="170">
        <f>EINGABEN!F43</f>
        <v>2.7182818284590451</v>
      </c>
      <c r="C43" s="106"/>
      <c r="D43" s="106">
        <f t="shared" si="2"/>
        <v>0</v>
      </c>
      <c r="E43" s="106">
        <f t="shared" si="3"/>
        <v>3.6787942681586594E-8</v>
      </c>
      <c r="F43" s="151">
        <f>((-LN((C52*(2.71828183^(C54*D43)))^-1)))</f>
        <v>0.35064701240963791</v>
      </c>
      <c r="G43" s="141">
        <f t="shared" si="0"/>
        <v>0</v>
      </c>
      <c r="H43" s="141">
        <f t="shared" si="1"/>
        <v>0</v>
      </c>
      <c r="I43" s="141">
        <f t="shared" si="1"/>
        <v>1.3533527267437006E-15</v>
      </c>
      <c r="J43" s="139" t="str">
        <f>IF(EINGABEN!C43="","",EINGABEN!C43)</f>
        <v/>
      </c>
      <c r="K43" s="139" t="str">
        <f t="shared" si="4"/>
        <v/>
      </c>
      <c r="L43" s="139" t="str">
        <f t="shared" si="5"/>
        <v/>
      </c>
      <c r="M43" s="139" t="str">
        <f t="shared" si="6"/>
        <v/>
      </c>
      <c r="N43" s="139"/>
      <c r="O43" s="138"/>
      <c r="P43" s="139"/>
      <c r="Q43" s="139"/>
      <c r="R43" s="139"/>
      <c r="S43" s="139"/>
    </row>
    <row r="44" spans="1:19" x14ac:dyDescent="0.3">
      <c r="A44" s="150">
        <f>EINGABEN!C44</f>
        <v>0</v>
      </c>
      <c r="B44" s="170">
        <f>EINGABEN!F44</f>
        <v>2.7182818284590451</v>
      </c>
      <c r="C44" s="106"/>
      <c r="D44" s="106">
        <f t="shared" si="2"/>
        <v>0</v>
      </c>
      <c r="E44" s="106">
        <f t="shared" si="3"/>
        <v>3.6787942681586594E-8</v>
      </c>
      <c r="F44" s="151">
        <f>((-LN((C52*(2.71828183^(C54*D44)))^-1)))</f>
        <v>0.35064701240963791</v>
      </c>
      <c r="G44" s="141">
        <f t="shared" si="0"/>
        <v>0</v>
      </c>
      <c r="H44" s="141">
        <f t="shared" si="1"/>
        <v>0</v>
      </c>
      <c r="I44" s="141">
        <f t="shared" si="1"/>
        <v>1.3533527267437006E-15</v>
      </c>
      <c r="J44" s="139" t="str">
        <f>IF(EINGABEN!C44="","",EINGABEN!C44)</f>
        <v/>
      </c>
      <c r="K44" s="139" t="str">
        <f t="shared" si="4"/>
        <v/>
      </c>
      <c r="L44" s="139" t="str">
        <f t="shared" si="5"/>
        <v/>
      </c>
      <c r="M44" s="139" t="str">
        <f t="shared" si="6"/>
        <v/>
      </c>
      <c r="N44" s="139"/>
      <c r="O44" s="138"/>
      <c r="P44" s="139"/>
      <c r="Q44" s="139"/>
      <c r="R44" s="139"/>
      <c r="S44" s="139"/>
    </row>
    <row r="45" spans="1:19" ht="15" thickBot="1" x14ac:dyDescent="0.35">
      <c r="A45" s="150">
        <f>EINGABEN!C45</f>
        <v>0</v>
      </c>
      <c r="B45" s="170">
        <f>EINGABEN!F45</f>
        <v>2.7182818284590451</v>
      </c>
      <c r="C45" s="106"/>
      <c r="D45" s="106">
        <f t="shared" si="2"/>
        <v>0</v>
      </c>
      <c r="E45" s="106">
        <f t="shared" si="3"/>
        <v>3.6787942681586594E-8</v>
      </c>
      <c r="F45" s="151">
        <f>((-LN((C52*(2.71828183^(C54*D45)))^-1)))</f>
        <v>0.35064701240963791</v>
      </c>
      <c r="G45" s="141">
        <f t="shared" si="0"/>
        <v>0</v>
      </c>
      <c r="H45" s="141">
        <f t="shared" si="1"/>
        <v>0</v>
      </c>
      <c r="I45" s="141">
        <f t="shared" si="1"/>
        <v>1.3533527267437006E-15</v>
      </c>
      <c r="J45" s="139" t="str">
        <f>IF(EINGABEN!C45="","",EINGABEN!C45)</f>
        <v/>
      </c>
      <c r="K45" s="139" t="str">
        <f t="shared" si="4"/>
        <v/>
      </c>
      <c r="L45" s="139" t="str">
        <f t="shared" si="5"/>
        <v/>
      </c>
      <c r="M45" s="139" t="str">
        <f t="shared" si="6"/>
        <v/>
      </c>
      <c r="N45" s="139"/>
      <c r="O45" s="138"/>
      <c r="P45" s="139"/>
      <c r="Q45" s="139"/>
      <c r="R45" s="139"/>
      <c r="S45" s="139"/>
    </row>
    <row r="46" spans="1:19" ht="15" thickTop="1" x14ac:dyDescent="0.3">
      <c r="A46" s="223" t="s">
        <v>44</v>
      </c>
      <c r="B46" s="213"/>
      <c r="C46" s="213"/>
      <c r="D46" s="213"/>
      <c r="E46" s="213"/>
      <c r="F46" s="224"/>
      <c r="G46" s="139"/>
      <c r="H46" s="139"/>
      <c r="I46" s="139"/>
      <c r="J46" s="139"/>
      <c r="K46" s="156"/>
      <c r="L46" s="156" t="s">
        <v>116</v>
      </c>
      <c r="M46" s="156">
        <f>((SUM(M6:M45))/((EINGABEN!D46)-1))^0.5</f>
        <v>278.15524063579898</v>
      </c>
      <c r="N46" s="138"/>
      <c r="O46" s="138"/>
      <c r="P46" s="139"/>
      <c r="Q46" s="139"/>
      <c r="R46" s="139"/>
      <c r="S46" s="139"/>
    </row>
    <row r="47" spans="1:19" x14ac:dyDescent="0.3">
      <c r="A47" s="175" t="s">
        <v>40</v>
      </c>
      <c r="B47" s="61" t="s">
        <v>106</v>
      </c>
      <c r="C47" s="61"/>
      <c r="D47" s="61"/>
      <c r="E47" s="61"/>
      <c r="F47" s="177"/>
      <c r="G47" s="139"/>
      <c r="H47" s="139"/>
      <c r="I47" s="139"/>
      <c r="J47" s="139"/>
      <c r="K47" s="156"/>
      <c r="L47" s="156"/>
      <c r="M47" s="156"/>
      <c r="N47" s="139"/>
      <c r="O47" s="139"/>
      <c r="P47" s="139"/>
      <c r="Q47" s="139"/>
      <c r="R47" s="139"/>
      <c r="S47" s="139"/>
    </row>
    <row r="48" spans="1:19" x14ac:dyDescent="0.3">
      <c r="A48" s="175" t="s">
        <v>41</v>
      </c>
      <c r="B48" s="61" t="s">
        <v>46</v>
      </c>
      <c r="C48" s="61"/>
      <c r="D48" s="61"/>
      <c r="E48" s="61"/>
      <c r="F48" s="177"/>
      <c r="G48" s="139"/>
      <c r="H48" s="139"/>
      <c r="I48" s="139"/>
      <c r="J48" s="139"/>
      <c r="K48" s="156" t="s">
        <v>117</v>
      </c>
      <c r="L48" s="156">
        <f>(SUM(L6:L45))/(EINGABEN!D46)</f>
        <v>178.89887063017619</v>
      </c>
      <c r="M48" s="156"/>
      <c r="N48" s="139"/>
      <c r="O48" s="139"/>
      <c r="P48" s="139"/>
      <c r="Q48" s="139"/>
      <c r="R48" s="139"/>
      <c r="S48" s="139"/>
    </row>
    <row r="49" spans="1:19" ht="15" thickBot="1" x14ac:dyDescent="0.35">
      <c r="A49" s="221" t="s">
        <v>39</v>
      </c>
      <c r="B49" s="222"/>
      <c r="C49" s="222"/>
      <c r="D49" s="222"/>
      <c r="E49" s="222"/>
      <c r="F49" s="196"/>
      <c r="G49" s="139"/>
      <c r="H49" s="139"/>
      <c r="I49" s="139"/>
      <c r="J49" s="139"/>
      <c r="K49" s="139"/>
      <c r="L49" s="139"/>
      <c r="M49" s="139"/>
      <c r="N49" s="139"/>
      <c r="O49" s="139"/>
      <c r="P49" s="139"/>
      <c r="Q49" s="139"/>
      <c r="R49" s="139"/>
      <c r="S49" s="139"/>
    </row>
    <row r="50" spans="1:19" ht="15" thickTop="1" x14ac:dyDescent="0.3">
      <c r="A50" s="223"/>
      <c r="B50" s="213"/>
      <c r="C50" s="213"/>
      <c r="D50" s="213"/>
      <c r="E50" s="213"/>
      <c r="F50" s="224"/>
      <c r="G50" s="139"/>
      <c r="H50" s="139"/>
      <c r="I50" s="139"/>
      <c r="J50" s="139"/>
      <c r="K50" s="139"/>
      <c r="L50" s="139"/>
      <c r="M50" s="139"/>
      <c r="N50" s="139"/>
      <c r="O50" s="139"/>
      <c r="P50" s="139"/>
      <c r="Q50" s="139"/>
      <c r="R50" s="139"/>
      <c r="S50" s="139"/>
    </row>
    <row r="51" spans="1:19" x14ac:dyDescent="0.3">
      <c r="A51" s="175"/>
      <c r="B51" s="61"/>
      <c r="C51" s="61"/>
      <c r="D51" s="61"/>
      <c r="E51" s="61"/>
      <c r="F51" s="177"/>
      <c r="G51" s="139"/>
      <c r="H51" s="139"/>
      <c r="I51" s="139"/>
      <c r="J51" s="139"/>
      <c r="K51" s="139"/>
      <c r="L51" s="139"/>
      <c r="M51" s="139"/>
      <c r="N51" s="139"/>
      <c r="O51" s="139"/>
      <c r="P51" s="139"/>
      <c r="Q51" s="139"/>
      <c r="R51" s="139"/>
      <c r="S51" s="139"/>
    </row>
    <row r="52" spans="1:19" x14ac:dyDescent="0.3">
      <c r="A52" s="225" t="s">
        <v>11</v>
      </c>
      <c r="B52" s="226"/>
      <c r="C52" s="164">
        <f>IF(C56=0,0,ROUND((2.71828183^((E4-(C54*D4))/(C4))),6))</f>
        <v>1.419986</v>
      </c>
      <c r="D52" s="61"/>
      <c r="E52" s="61"/>
      <c r="F52" s="177"/>
      <c r="G52" s="139"/>
      <c r="H52" s="139"/>
      <c r="I52" s="139"/>
      <c r="J52" s="139"/>
      <c r="K52" s="139"/>
      <c r="L52" s="139"/>
      <c r="M52" s="139"/>
      <c r="N52" s="139"/>
      <c r="O52" s="139"/>
      <c r="P52" s="139"/>
      <c r="Q52" s="139"/>
      <c r="R52" s="139"/>
      <c r="S52" s="139"/>
    </row>
    <row r="53" spans="1:19" x14ac:dyDescent="0.3">
      <c r="A53" s="227"/>
      <c r="B53" s="195"/>
      <c r="C53" s="195"/>
      <c r="D53" s="61"/>
      <c r="E53" s="61"/>
      <c r="F53" s="177"/>
      <c r="G53" s="139"/>
      <c r="H53" s="139"/>
      <c r="I53" s="139"/>
      <c r="J53" s="139"/>
      <c r="K53" s="139"/>
      <c r="L53" s="139"/>
      <c r="M53" s="139"/>
      <c r="N53" s="139"/>
      <c r="O53" s="139"/>
      <c r="P53" s="139"/>
      <c r="Q53" s="139"/>
      <c r="R53" s="139"/>
      <c r="S53" s="139"/>
    </row>
    <row r="54" spans="1:19" x14ac:dyDescent="0.3">
      <c r="A54" s="228" t="s">
        <v>12</v>
      </c>
      <c r="B54" s="195"/>
      <c r="C54" s="195">
        <f>ROUND((C4*G4-D4*E4)/(C4*H4-(D4)^2),6)</f>
        <v>0.105459</v>
      </c>
      <c r="D54" s="61"/>
      <c r="E54" s="61"/>
      <c r="F54" s="177"/>
      <c r="G54" s="139"/>
      <c r="H54" s="139"/>
      <c r="I54" s="139"/>
      <c r="J54" s="139"/>
      <c r="K54" s="139"/>
      <c r="L54" s="139"/>
      <c r="M54" s="139"/>
      <c r="N54" s="139"/>
      <c r="O54" s="139"/>
      <c r="P54" s="139"/>
      <c r="Q54" s="139"/>
      <c r="R54" s="139"/>
      <c r="S54" s="139"/>
    </row>
    <row r="55" spans="1:19" x14ac:dyDescent="0.3">
      <c r="A55" s="227"/>
      <c r="B55" s="195"/>
      <c r="C55" s="195"/>
      <c r="D55" s="61"/>
      <c r="E55" s="61"/>
      <c r="F55" s="177"/>
      <c r="G55" s="139"/>
      <c r="H55" s="139"/>
      <c r="I55" s="139"/>
      <c r="J55" s="139"/>
      <c r="K55" s="139"/>
      <c r="L55" s="139"/>
      <c r="M55" s="139"/>
      <c r="N55" s="139"/>
      <c r="O55" s="139"/>
      <c r="P55" s="139"/>
      <c r="Q55" s="139"/>
      <c r="R55" s="139"/>
      <c r="S55" s="139"/>
    </row>
    <row r="56" spans="1:19" x14ac:dyDescent="0.3">
      <c r="A56" s="228" t="s">
        <v>13</v>
      </c>
      <c r="B56" s="195"/>
      <c r="C56" s="195">
        <f>IF(D59=0,0,IF(D58/D59&gt;1,1,ROUND(ABS(D58/D59),6)))</f>
        <v>0.85020899999999999</v>
      </c>
      <c r="D56" s="61"/>
      <c r="E56" s="61"/>
      <c r="F56" s="177"/>
      <c r="G56" s="139"/>
      <c r="H56" s="139"/>
      <c r="I56" s="139"/>
      <c r="J56" s="139"/>
      <c r="K56" s="139"/>
      <c r="L56" s="139"/>
      <c r="M56" s="139"/>
      <c r="N56" s="139"/>
      <c r="O56" s="139"/>
      <c r="P56" s="139"/>
      <c r="Q56" s="139"/>
      <c r="R56" s="139"/>
      <c r="S56" s="139"/>
    </row>
    <row r="57" spans="1:19" ht="15" thickBot="1" x14ac:dyDescent="0.35">
      <c r="A57" s="221"/>
      <c r="B57" s="222"/>
      <c r="C57" s="222"/>
      <c r="D57" s="222"/>
      <c r="E57" s="222"/>
      <c r="F57" s="196"/>
      <c r="G57" s="139"/>
      <c r="H57" s="139"/>
      <c r="I57" s="139"/>
      <c r="J57" s="139"/>
      <c r="K57" s="139"/>
      <c r="L57" s="139"/>
      <c r="M57" s="139"/>
      <c r="N57" s="139"/>
      <c r="O57" s="139"/>
      <c r="P57" s="139"/>
      <c r="Q57" s="139"/>
      <c r="R57" s="139"/>
      <c r="S57" s="139"/>
    </row>
    <row r="58" spans="1:19" ht="15" thickTop="1" x14ac:dyDescent="0.3">
      <c r="A58" s="228" t="s">
        <v>14</v>
      </c>
      <c r="B58" s="50"/>
      <c r="C58" s="171" t="s">
        <v>19</v>
      </c>
      <c r="D58" s="172">
        <f>(C4*G4-(D4*E4))</f>
        <v>217.79902339839816</v>
      </c>
      <c r="E58" s="202" t="s">
        <v>71</v>
      </c>
      <c r="F58" s="177"/>
      <c r="G58" s="139"/>
      <c r="H58" s="139"/>
      <c r="I58" s="139"/>
      <c r="J58" s="139"/>
      <c r="K58" s="139"/>
      <c r="L58" s="139"/>
      <c r="M58" s="139"/>
      <c r="N58" s="139"/>
      <c r="O58" s="139"/>
      <c r="P58" s="139"/>
      <c r="Q58" s="139"/>
      <c r="R58" s="139"/>
      <c r="S58" s="139"/>
    </row>
    <row r="59" spans="1:19" x14ac:dyDescent="0.3">
      <c r="A59" s="229"/>
      <c r="B59" s="50"/>
      <c r="C59" s="171" t="s">
        <v>20</v>
      </c>
      <c r="D59" s="173">
        <f>((C4*H4-(D4)^2)*(C4*I4-(E4)^2))^0.5</f>
        <v>256.17117122210624</v>
      </c>
      <c r="E59" s="202" t="s">
        <v>71</v>
      </c>
      <c r="F59" s="177"/>
      <c r="G59" s="139"/>
      <c r="H59" s="139"/>
      <c r="I59" s="139"/>
      <c r="J59" s="139"/>
      <c r="K59" s="139"/>
    </row>
    <row r="60" spans="1:19" x14ac:dyDescent="0.3">
      <c r="A60" s="175"/>
      <c r="B60" s="61"/>
      <c r="C60" s="277" t="s">
        <v>110</v>
      </c>
      <c r="D60" s="278"/>
      <c r="E60" s="182">
        <f>IF(EINGABEN!D46&lt;10,"Anzahl zu klein",ROUND((E61*(1+E64/100)),2))</f>
        <v>466.8</v>
      </c>
      <c r="F60" s="177"/>
      <c r="G60" s="139"/>
      <c r="H60" s="139"/>
      <c r="I60" s="139"/>
      <c r="J60" s="139"/>
      <c r="K60" s="139"/>
    </row>
    <row r="61" spans="1:19" x14ac:dyDescent="0.3">
      <c r="A61" s="30" t="s">
        <v>15</v>
      </c>
      <c r="B61" s="187">
        <v>10</v>
      </c>
      <c r="C61" s="230" t="s">
        <v>16</v>
      </c>
      <c r="D61" s="195" t="s">
        <v>72</v>
      </c>
      <c r="E61" s="180">
        <f>ROUND((2.71828183^(C52*2.71828184^(C54*B61))),2)</f>
        <v>58.94</v>
      </c>
      <c r="F61" s="177"/>
      <c r="G61" s="139"/>
      <c r="H61" s="139"/>
      <c r="I61" s="139"/>
      <c r="J61" s="139"/>
      <c r="K61" s="139">
        <v>11</v>
      </c>
    </row>
    <row r="62" spans="1:19" x14ac:dyDescent="0.3">
      <c r="A62" s="229" t="s">
        <v>63</v>
      </c>
      <c r="B62" s="50" t="s">
        <v>64</v>
      </c>
      <c r="C62" s="277" t="s">
        <v>111</v>
      </c>
      <c r="D62" s="278"/>
      <c r="E62" s="182">
        <f>IF(EINGABEN!D46&lt;10,"Anzahl zu klein",ROUND((E61*(1-E64/100)),2))</f>
        <v>-348.92</v>
      </c>
      <c r="F62" s="177"/>
      <c r="G62" s="139"/>
      <c r="H62" s="139"/>
      <c r="I62" s="139"/>
      <c r="J62" s="139"/>
      <c r="K62" s="139"/>
    </row>
    <row r="63" spans="1:19" x14ac:dyDescent="0.3">
      <c r="A63" s="30" t="s">
        <v>17</v>
      </c>
      <c r="B63" s="187">
        <v>58.94</v>
      </c>
      <c r="C63" s="230" t="s">
        <v>16</v>
      </c>
      <c r="D63" s="195" t="s">
        <v>70</v>
      </c>
      <c r="E63" s="180">
        <f>IF(C56=0,0,ROUND(((LN((LN(B63+0.0000001)/C52)))/C54),2))</f>
        <v>10</v>
      </c>
      <c r="F63" s="177"/>
      <c r="G63" s="139"/>
      <c r="H63" s="139"/>
      <c r="I63" s="139"/>
      <c r="J63" s="139">
        <v>1</v>
      </c>
      <c r="K63" s="139"/>
    </row>
    <row r="64" spans="1:19" ht="15" thickBot="1" x14ac:dyDescent="0.35">
      <c r="A64" s="234" t="s">
        <v>68</v>
      </c>
      <c r="B64" s="205" t="s">
        <v>107</v>
      </c>
      <c r="C64" s="273" t="s">
        <v>119</v>
      </c>
      <c r="D64" s="273"/>
      <c r="E64" s="185">
        <f>IF(EINGABEN!D46&lt;10,"Anzahl zu klein",ROUND((((2.868009*(LN(LN(EINGABEN!D46)))^-2.421118)*M46)/L48)*100,0))</f>
        <v>692</v>
      </c>
      <c r="F64" s="196"/>
      <c r="G64" s="139"/>
      <c r="H64" s="139"/>
      <c r="I64" s="139"/>
      <c r="J64" s="139"/>
      <c r="K64" s="139"/>
    </row>
    <row r="65" spans="3:11" ht="15" thickTop="1" x14ac:dyDescent="0.3">
      <c r="C65" s="213"/>
      <c r="D65" s="213"/>
      <c r="G65" s="139"/>
      <c r="H65" s="139"/>
      <c r="I65" s="139"/>
      <c r="J65" s="139"/>
      <c r="K65" s="139"/>
    </row>
    <row r="66" spans="3:11" x14ac:dyDescent="0.3">
      <c r="G66" s="139">
        <v>12</v>
      </c>
      <c r="H66" s="139"/>
      <c r="I66" s="139"/>
      <c r="J66" s="139"/>
      <c r="K66" s="139"/>
    </row>
    <row r="67" spans="3:11" x14ac:dyDescent="0.3">
      <c r="G67" s="139"/>
      <c r="H67" s="139"/>
      <c r="I67" s="139"/>
      <c r="J67" s="139"/>
      <c r="K67" s="139"/>
    </row>
    <row r="68" spans="3:11" x14ac:dyDescent="0.3">
      <c r="G68" s="139"/>
      <c r="H68" s="139"/>
      <c r="I68" s="139"/>
      <c r="J68" s="139"/>
      <c r="K68" s="139"/>
    </row>
    <row r="69" spans="3:11" x14ac:dyDescent="0.3">
      <c r="G69" s="139"/>
      <c r="H69" s="139"/>
      <c r="I69" s="139"/>
      <c r="J69" s="139"/>
      <c r="K69" s="139"/>
    </row>
    <row r="70" spans="3:11" x14ac:dyDescent="0.3">
      <c r="G70" s="139"/>
      <c r="H70" s="139"/>
      <c r="I70" s="139"/>
      <c r="J70" s="139"/>
      <c r="K70" s="139"/>
    </row>
  </sheetData>
  <sheetProtection algorithmName="SHA-512" hashValue="QIRhGCnCb568ndAGe6Sc5O7+Vx42egniTzGP+nWI50JPQ6PD7pySXt3eSGIOdN+44YVFLryq2JPZ4QERhGWbyw==" saltValue="NKkIzM4oh4UMO+JNoo+GhQ==" spinCount="100000" sheet="1" objects="1" scenarios="1"/>
  <mergeCells count="4">
    <mergeCell ref="A4:B4"/>
    <mergeCell ref="C60:D60"/>
    <mergeCell ref="C62:D62"/>
    <mergeCell ref="C64:D64"/>
  </mergeCells>
  <dataValidations count="2">
    <dataValidation showInputMessage="1" showErrorMessage="1" sqref="A6:A45 B6:B9" xr:uid="{00000000-0002-0000-0500-000000000000}"/>
    <dataValidation type="decimal" operator="greaterThanOrEqual" allowBlank="1" showInputMessage="1" showErrorMessage="1" sqref="B63 I37:I43" xr:uid="{2CC1BEFF-6DA0-412C-B7EC-876B8C69481D}">
      <formula1>1</formula1>
    </dataValidation>
  </dataValidations>
  <pageMargins left="0.7" right="0.7" top="0.78740157499999996" bottom="0.78740157499999996" header="0.3" footer="0.3"/>
  <pageSetup paperSize="9" orientation="portrait" horizontalDpi="4294967293" verticalDpi="4294967293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T67"/>
  <sheetViews>
    <sheetView topLeftCell="A16" zoomScaleNormal="100" workbookViewId="0">
      <selection activeCell="H50" sqref="H50"/>
    </sheetView>
  </sheetViews>
  <sheetFormatPr baseColWidth="10" defaultRowHeight="14.4" x14ac:dyDescent="0.3"/>
  <cols>
    <col min="1" max="1" width="18.88671875" style="140" customWidth="1"/>
    <col min="2" max="2" width="11.5546875" style="140"/>
    <col min="3" max="3" width="14.109375" style="140" customWidth="1"/>
    <col min="4" max="4" width="11.5546875" style="140"/>
    <col min="5" max="5" width="15.6640625" style="140" customWidth="1"/>
    <col min="6" max="6" width="15.33203125" style="140" customWidth="1"/>
    <col min="7" max="7" width="13.77734375" style="140" customWidth="1"/>
    <col min="8" max="9" width="11.5546875" style="140"/>
    <col min="10" max="10" width="17.109375" style="140" customWidth="1"/>
    <col min="11" max="11" width="34" style="140" customWidth="1"/>
    <col min="12" max="12" width="29.5546875" style="140" customWidth="1"/>
    <col min="13" max="13" width="25.44140625" style="140" customWidth="1"/>
    <col min="14" max="14" width="15.5546875" style="140" customWidth="1"/>
    <col min="15" max="16384" width="11.5546875" style="140"/>
  </cols>
  <sheetData>
    <row r="1" spans="1:20" ht="18" x14ac:dyDescent="0.35">
      <c r="A1" s="215" t="s">
        <v>58</v>
      </c>
      <c r="B1" s="216"/>
      <c r="C1" s="216"/>
      <c r="D1" s="216"/>
      <c r="E1" s="216"/>
      <c r="F1" s="216"/>
      <c r="G1" s="216"/>
      <c r="H1" s="216"/>
      <c r="I1" s="217"/>
      <c r="J1" s="217"/>
      <c r="K1" s="217"/>
      <c r="L1" s="217"/>
      <c r="M1" s="217"/>
      <c r="N1" s="217"/>
      <c r="O1" s="139"/>
      <c r="P1" s="139"/>
      <c r="Q1" s="139"/>
      <c r="R1" s="139"/>
      <c r="S1" s="139"/>
      <c r="T1" s="139"/>
    </row>
    <row r="2" spans="1:20" x14ac:dyDescent="0.3">
      <c r="A2" s="141"/>
      <c r="B2" s="141"/>
      <c r="C2" s="261"/>
      <c r="D2" s="261"/>
      <c r="E2" s="261"/>
      <c r="F2" s="261"/>
      <c r="G2" s="261"/>
      <c r="H2" s="141"/>
      <c r="I2" s="137"/>
      <c r="J2" s="217"/>
      <c r="K2" s="217"/>
      <c r="L2" s="217"/>
      <c r="M2" s="217"/>
      <c r="N2" s="217"/>
      <c r="O2" s="139"/>
      <c r="P2" s="139"/>
      <c r="Q2" s="139"/>
      <c r="R2" s="139"/>
      <c r="S2" s="139"/>
      <c r="T2" s="139"/>
    </row>
    <row r="3" spans="1:20" x14ac:dyDescent="0.3">
      <c r="A3" s="141"/>
      <c r="B3" s="141"/>
      <c r="C3" s="141" t="s">
        <v>0</v>
      </c>
      <c r="D3" s="142" t="s">
        <v>1</v>
      </c>
      <c r="E3" s="141" t="s">
        <v>2</v>
      </c>
      <c r="F3" s="141" t="s">
        <v>21</v>
      </c>
      <c r="G3" s="141" t="s">
        <v>3</v>
      </c>
      <c r="H3" s="141" t="s">
        <v>4</v>
      </c>
      <c r="I3" s="141" t="s">
        <v>140</v>
      </c>
      <c r="J3" s="217"/>
      <c r="K3" s="217"/>
      <c r="L3" s="217"/>
      <c r="M3" s="217"/>
      <c r="N3" s="217"/>
      <c r="O3" s="139"/>
      <c r="P3" s="139"/>
      <c r="Q3" s="139"/>
      <c r="R3" s="139"/>
      <c r="S3" s="139"/>
      <c r="T3" s="139"/>
    </row>
    <row r="4" spans="1:20" x14ac:dyDescent="0.3">
      <c r="A4" s="261" t="s">
        <v>141</v>
      </c>
      <c r="B4" s="261"/>
      <c r="C4" s="141">
        <f>EINGABEN!$D$46</f>
        <v>10</v>
      </c>
      <c r="D4" s="141">
        <f>IF(MIN(A6:A45)&lt;1,0,ROUND(SUM(D6:D45),12))</f>
        <v>18.372203874333</v>
      </c>
      <c r="E4" s="141">
        <f>IF(MIN(B6:B45)&lt;=0,0,SUM(E6:E45))</f>
        <v>36.744157155005254</v>
      </c>
      <c r="F4" s="137" t="s">
        <v>22</v>
      </c>
      <c r="G4" s="141">
        <f>IF(MIN(B6:B45)&lt;=0,0,SUM(G6:G45))</f>
        <v>78.147547102888183</v>
      </c>
      <c r="H4" s="141">
        <f>IF(MIN(A6:A45)&lt;1,0,ROUND(SUM(H6:H45),12))</f>
        <v>39.074033504722998</v>
      </c>
      <c r="I4" s="141">
        <f>IF(MIN(B6:B45)&lt;=0,0,SUM(I6:I45))</f>
        <v>156.294054455154</v>
      </c>
      <c r="J4" s="217"/>
      <c r="K4" s="217"/>
      <c r="L4" s="217"/>
      <c r="M4" s="217"/>
      <c r="N4" s="217"/>
      <c r="O4" s="139"/>
      <c r="P4" s="139"/>
      <c r="Q4" s="139"/>
      <c r="R4" s="139"/>
      <c r="S4" s="139"/>
      <c r="T4" s="139"/>
    </row>
    <row r="5" spans="1:20" x14ac:dyDescent="0.3">
      <c r="A5" s="141" t="s">
        <v>8</v>
      </c>
      <c r="B5" s="141" t="s">
        <v>9</v>
      </c>
      <c r="C5" s="141" t="s">
        <v>38</v>
      </c>
      <c r="D5" s="141" t="s">
        <v>5</v>
      </c>
      <c r="E5" s="141" t="s">
        <v>6</v>
      </c>
      <c r="F5" s="141" t="s">
        <v>23</v>
      </c>
      <c r="G5" s="141" t="s">
        <v>10</v>
      </c>
      <c r="H5" s="141" t="s">
        <v>7</v>
      </c>
      <c r="I5" s="142" t="s">
        <v>18</v>
      </c>
      <c r="J5" s="217" t="s">
        <v>114</v>
      </c>
      <c r="K5" s="217" t="s">
        <v>112</v>
      </c>
      <c r="L5" s="217" t="s">
        <v>113</v>
      </c>
      <c r="M5" s="217" t="s">
        <v>115</v>
      </c>
      <c r="N5" s="217"/>
      <c r="O5" s="139"/>
      <c r="P5" s="139"/>
      <c r="Q5" s="139"/>
      <c r="R5" s="139"/>
      <c r="S5" s="139"/>
      <c r="T5" s="139"/>
    </row>
    <row r="6" spans="1:20" x14ac:dyDescent="0.3">
      <c r="A6" s="141">
        <f>EINGABEN!B6</f>
        <v>8</v>
      </c>
      <c r="B6" s="141">
        <f>EINGABEN!E6</f>
        <v>64</v>
      </c>
      <c r="C6" s="141"/>
      <c r="D6" s="141">
        <f>(LN(A6+0.001))</f>
        <v>2.079566533867987</v>
      </c>
      <c r="E6" s="141">
        <f>((LN(B6+0.000000001)))</f>
        <v>4.1588830833752972</v>
      </c>
      <c r="F6" s="137">
        <f>LN(C52*A6^C54)</f>
        <v>4.1588552094902127</v>
      </c>
      <c r="G6" s="141">
        <f t="shared" ref="G6:G45" si="0">(D6*E6)</f>
        <v>8.6486740784569722</v>
      </c>
      <c r="H6" s="141">
        <f t="shared" ref="H6:I45" si="1">(D6)^2</f>
        <v>4.3245969687837134</v>
      </c>
      <c r="I6" s="141">
        <f t="shared" si="1"/>
        <v>17.296308501185219</v>
      </c>
      <c r="J6" s="217">
        <f>IF(EINGABEN!C6="","",EINGABEN!C6)</f>
        <v>8</v>
      </c>
      <c r="K6" s="217">
        <f>IF(J6="","",B6)</f>
        <v>64</v>
      </c>
      <c r="L6" s="217">
        <f>IF(J6="","",($C$52*J6^$C$54))</f>
        <v>63.998216097216861</v>
      </c>
      <c r="M6" s="217">
        <f>IF(K6="","",(K6-L6)^2)</f>
        <v>3.1823091396894927E-6</v>
      </c>
      <c r="N6" s="217"/>
      <c r="O6" s="139"/>
      <c r="P6" s="139"/>
      <c r="Q6" s="139"/>
      <c r="R6" s="139"/>
      <c r="S6" s="139"/>
      <c r="T6" s="139"/>
    </row>
    <row r="7" spans="1:20" x14ac:dyDescent="0.3">
      <c r="A7" s="141">
        <f>EINGABEN!B7</f>
        <v>7</v>
      </c>
      <c r="B7" s="141">
        <f>EINGABEN!E7</f>
        <v>49</v>
      </c>
      <c r="C7" s="141"/>
      <c r="D7" s="141">
        <f t="shared" ref="D7:D45" si="2">(LN(A7+0.00000001))</f>
        <v>1.9459101504838847</v>
      </c>
      <c r="E7" s="141">
        <f t="shared" ref="E7:E45" si="3">((LN(B7+0.000000001)))</f>
        <v>3.8918202981310346</v>
      </c>
      <c r="F7" s="137">
        <f>LN(C52*A7^C54)</f>
        <v>3.8917938930864868</v>
      </c>
      <c r="G7" s="141">
        <f t="shared" si="0"/>
        <v>7.5731326219923982</v>
      </c>
      <c r="H7" s="141">
        <f t="shared" si="1"/>
        <v>3.7865663137562149</v>
      </c>
      <c r="I7" s="141">
        <f t="shared" si="1"/>
        <v>15.146265232944735</v>
      </c>
      <c r="J7" s="217">
        <f>IF(EINGABEN!C7="","",EINGABEN!C7)</f>
        <v>7</v>
      </c>
      <c r="K7" s="217">
        <f t="shared" ref="K7:K45" si="4">IF(J7="","",B7)</f>
        <v>49</v>
      </c>
      <c r="L7" s="217">
        <f t="shared" ref="L7:L45" si="5">IF(J7="","",($C$52*J7^$C$54))</f>
        <v>48.998706170899013</v>
      </c>
      <c r="M7" s="217">
        <f t="shared" ref="M7:M45" si="6">IF(K7="","",(K7-L7)^2)</f>
        <v>1.6739937425618875E-6</v>
      </c>
      <c r="N7" s="217"/>
      <c r="O7" s="139"/>
      <c r="P7" s="139"/>
      <c r="Q7" s="139"/>
      <c r="R7" s="139"/>
      <c r="S7" s="139"/>
      <c r="T7" s="139"/>
    </row>
    <row r="8" spans="1:20" x14ac:dyDescent="0.3">
      <c r="A8" s="141">
        <f>EINGABEN!B8</f>
        <v>4</v>
      </c>
      <c r="B8" s="218">
        <f>EINGABEN!E8</f>
        <v>16</v>
      </c>
      <c r="C8" s="141"/>
      <c r="D8" s="141">
        <f t="shared" si="2"/>
        <v>1.3862943636198906</v>
      </c>
      <c r="E8" s="141">
        <f t="shared" si="3"/>
        <v>2.7725887223022814</v>
      </c>
      <c r="F8" s="137">
        <f>LN(C52*A8^C54)</f>
        <v>2.7725684729893088</v>
      </c>
      <c r="G8" s="141">
        <f t="shared" si="0"/>
        <v>3.8436241183637265</v>
      </c>
      <c r="H8" s="141">
        <f t="shared" si="1"/>
        <v>1.9218120626042774</v>
      </c>
      <c r="I8" s="141">
        <f t="shared" si="1"/>
        <v>7.6872482230377974</v>
      </c>
      <c r="J8" s="217">
        <f>IF(EINGABEN!C8="","",EINGABEN!C8)</f>
        <v>4</v>
      </c>
      <c r="K8" s="217">
        <f t="shared" si="4"/>
        <v>16</v>
      </c>
      <c r="L8" s="217">
        <f t="shared" si="5"/>
        <v>15.999676015272675</v>
      </c>
      <c r="M8" s="217">
        <f t="shared" si="6"/>
        <v>1.0496610354005578E-7</v>
      </c>
      <c r="N8" s="217"/>
      <c r="O8" s="139"/>
      <c r="P8" s="139"/>
      <c r="Q8" s="139"/>
      <c r="R8" s="139"/>
      <c r="S8" s="139"/>
      <c r="T8" s="139"/>
    </row>
    <row r="9" spans="1:20" x14ac:dyDescent="0.3">
      <c r="A9" s="141">
        <f>EINGABEN!B9</f>
        <v>2.5</v>
      </c>
      <c r="B9" s="141">
        <f>EINGABEN!E9</f>
        <v>6.25</v>
      </c>
      <c r="C9" s="141"/>
      <c r="D9" s="141">
        <f t="shared" si="2"/>
        <v>0.91629073587415499</v>
      </c>
      <c r="E9" s="141">
        <f t="shared" si="3"/>
        <v>1.8325814639083102</v>
      </c>
      <c r="F9" s="137">
        <f>LN(C52*A9^C54)</f>
        <v>1.8325663845377593</v>
      </c>
      <c r="G9" s="141">
        <f t="shared" si="0"/>
        <v>1.6791774181138819</v>
      </c>
      <c r="H9" s="141">
        <f t="shared" si="1"/>
        <v>0.83958871264880042</v>
      </c>
      <c r="I9" s="141">
        <f t="shared" si="1"/>
        <v>3.3583548218603254</v>
      </c>
      <c r="J9" s="217">
        <f>IF(EINGABEN!C9="","",EINGABEN!C9)</f>
        <v>2.5</v>
      </c>
      <c r="K9" s="217">
        <f t="shared" si="4"/>
        <v>6.25</v>
      </c>
      <c r="L9" s="217">
        <f t="shared" si="5"/>
        <v>6.2499057556446251</v>
      </c>
      <c r="M9" s="217">
        <f t="shared" si="6"/>
        <v>8.8819985200232344E-9</v>
      </c>
      <c r="N9" s="217"/>
      <c r="O9" s="139"/>
      <c r="P9" s="139"/>
      <c r="Q9" s="139"/>
      <c r="R9" s="139"/>
      <c r="S9" s="139"/>
      <c r="T9" s="139"/>
    </row>
    <row r="10" spans="1:20" x14ac:dyDescent="0.3">
      <c r="A10" s="141">
        <f>EINGABEN!B10</f>
        <v>4.5</v>
      </c>
      <c r="B10" s="262">
        <f>EINGABEN!E10</f>
        <v>20.25</v>
      </c>
      <c r="C10" s="141"/>
      <c r="D10" s="141">
        <f t="shared" si="2"/>
        <v>1.5040773989984964</v>
      </c>
      <c r="E10" s="141">
        <f t="shared" si="3"/>
        <v>3.0081547936019311</v>
      </c>
      <c r="F10" s="137">
        <f>LN(C52*A10^C54)</f>
        <v>3.0081332486886838</v>
      </c>
      <c r="G10" s="141">
        <f t="shared" si="0"/>
        <v>4.5244976377456512</v>
      </c>
      <c r="H10" s="141">
        <f t="shared" si="1"/>
        <v>2.2622488221780821</v>
      </c>
      <c r="I10" s="141">
        <f t="shared" si="1"/>
        <v>9.0489952622702763</v>
      </c>
      <c r="J10" s="217">
        <f>IF(EINGABEN!C10="","",EINGABEN!C10)</f>
        <v>4.5</v>
      </c>
      <c r="K10" s="217">
        <f t="shared" si="4"/>
        <v>20.25</v>
      </c>
      <c r="L10" s="217">
        <f t="shared" si="5"/>
        <v>20.249563721206545</v>
      </c>
      <c r="M10" s="217">
        <f t="shared" si="6"/>
        <v>1.9033918561824297E-7</v>
      </c>
      <c r="N10" s="217"/>
      <c r="O10" s="139"/>
      <c r="P10" s="139"/>
      <c r="Q10" s="139"/>
      <c r="R10" s="139"/>
      <c r="S10" s="139"/>
      <c r="T10" s="139"/>
    </row>
    <row r="11" spans="1:20" x14ac:dyDescent="0.3">
      <c r="A11" s="141">
        <f>EINGABEN!B11</f>
        <v>10</v>
      </c>
      <c r="B11" s="262">
        <f>EINGABEN!E11</f>
        <v>100</v>
      </c>
      <c r="C11" s="141"/>
      <c r="D11" s="141">
        <f t="shared" si="2"/>
        <v>2.302585093994046</v>
      </c>
      <c r="E11" s="141">
        <f t="shared" si="3"/>
        <v>4.6051701859980918</v>
      </c>
      <c r="F11" s="137">
        <f>LN(C52*A11^C54)</f>
        <v>4.6051398575395686</v>
      </c>
      <c r="G11" s="141">
        <f t="shared" si="0"/>
        <v>10.603796225584995</v>
      </c>
      <c r="H11" s="141">
        <f t="shared" si="1"/>
        <v>5.3018981150835698</v>
      </c>
      <c r="I11" s="141">
        <f t="shared" si="1"/>
        <v>21.207592442005698</v>
      </c>
      <c r="J11" s="217">
        <f>IF(EINGABEN!C11="","",EINGABEN!C11)</f>
        <v>10</v>
      </c>
      <c r="K11" s="137">
        <f t="shared" si="4"/>
        <v>100</v>
      </c>
      <c r="L11" s="217">
        <f t="shared" si="5"/>
        <v>99.996967201137991</v>
      </c>
      <c r="M11" s="217">
        <f t="shared" si="6"/>
        <v>9.1978689374012047E-6</v>
      </c>
      <c r="N11" s="217"/>
      <c r="O11" s="139"/>
      <c r="P11" s="139"/>
      <c r="Q11" s="139"/>
      <c r="R11" s="139"/>
      <c r="S11" s="139"/>
      <c r="T11" s="139"/>
    </row>
    <row r="12" spans="1:20" x14ac:dyDescent="0.3">
      <c r="A12" s="141">
        <f>EINGABEN!B12</f>
        <v>12</v>
      </c>
      <c r="B12" s="262">
        <f>EINGABEN!E12</f>
        <v>144</v>
      </c>
      <c r="C12" s="141"/>
      <c r="D12" s="141">
        <f t="shared" si="2"/>
        <v>2.4849066506213338</v>
      </c>
      <c r="E12" s="141">
        <f t="shared" si="3"/>
        <v>4.9698132995829454</v>
      </c>
      <c r="F12" s="137">
        <f>LN(C52*A12^C54)</f>
        <v>4.9697809655903527</v>
      </c>
      <c r="G12" s="141">
        <f t="shared" si="0"/>
        <v>12.349522120480016</v>
      </c>
      <c r="H12" s="141">
        <f t="shared" si="1"/>
        <v>6.1747610623021352</v>
      </c>
      <c r="I12" s="141">
        <f t="shared" si="1"/>
        <v>24.699044232711522</v>
      </c>
      <c r="J12" s="217">
        <f>IF(EINGABEN!C12="","",EINGABEN!C12)</f>
        <v>12</v>
      </c>
      <c r="K12" s="217">
        <f t="shared" si="4"/>
        <v>144</v>
      </c>
      <c r="L12" s="217">
        <f t="shared" si="5"/>
        <v>143.99534398134091</v>
      </c>
      <c r="M12" s="217">
        <f t="shared" si="6"/>
        <v>2.1678509753802925E-5</v>
      </c>
      <c r="N12" s="217"/>
      <c r="O12" s="139"/>
      <c r="P12" s="139"/>
      <c r="Q12" s="139"/>
      <c r="R12" s="139"/>
      <c r="S12" s="139"/>
      <c r="T12" s="139"/>
    </row>
    <row r="13" spans="1:20" ht="13.2" customHeight="1" x14ac:dyDescent="0.3">
      <c r="A13" s="141">
        <f>EINGABEN!B13</f>
        <v>15</v>
      </c>
      <c r="B13" s="262">
        <f>EINGABEN!E13</f>
        <v>225</v>
      </c>
      <c r="C13" s="141"/>
      <c r="D13" s="141">
        <f t="shared" si="2"/>
        <v>2.7080502017688768</v>
      </c>
      <c r="E13" s="141">
        <f t="shared" si="3"/>
        <v>5.4161004022088646</v>
      </c>
      <c r="F13" s="137">
        <f>LN(C52*A13^C54)</f>
        <v>5.4160656136397076</v>
      </c>
      <c r="G13" s="141">
        <f t="shared" si="0"/>
        <v>14.667071787002211</v>
      </c>
      <c r="H13" s="141">
        <f t="shared" si="1"/>
        <v>7.3335358953004546</v>
      </c>
      <c r="I13" s="141">
        <f t="shared" si="1"/>
        <v>29.334143566807025</v>
      </c>
      <c r="J13" s="217">
        <f>IF(EINGABEN!C13="","",EINGABEN!C13)</f>
        <v>15</v>
      </c>
      <c r="K13" s="217">
        <f t="shared" si="4"/>
        <v>225</v>
      </c>
      <c r="L13" s="217">
        <f t="shared" si="5"/>
        <v>224.99217270909057</v>
      </c>
      <c r="M13" s="217">
        <f t="shared" si="6"/>
        <v>6.1266482980882291E-5</v>
      </c>
      <c r="N13" s="217"/>
      <c r="O13" s="139"/>
      <c r="P13" s="139"/>
      <c r="Q13" s="139"/>
      <c r="R13" s="139"/>
      <c r="S13" s="139"/>
      <c r="T13" s="139"/>
    </row>
    <row r="14" spans="1:20" x14ac:dyDescent="0.3">
      <c r="A14" s="141">
        <f>EINGABEN!B14</f>
        <v>1.5</v>
      </c>
      <c r="B14" s="262">
        <f>EINGABEN!E14</f>
        <v>2.25</v>
      </c>
      <c r="C14" s="141"/>
      <c r="D14" s="141">
        <f t="shared" si="2"/>
        <v>0.40546511477483099</v>
      </c>
      <c r="E14" s="141">
        <f t="shared" si="3"/>
        <v>0.81093021666077325</v>
      </c>
      <c r="F14" s="137">
        <f>LN(C52*A14^C54)</f>
        <v>0.81092075608763958</v>
      </c>
      <c r="G14" s="141">
        <f t="shared" si="0"/>
        <v>0.32880391337273901</v>
      </c>
      <c r="H14" s="141">
        <f t="shared" si="1"/>
        <v>0.16440195929936688</v>
      </c>
      <c r="I14" s="141">
        <f t="shared" si="1"/>
        <v>0.65760781629348863</v>
      </c>
      <c r="J14" s="217">
        <f>IF(EINGABEN!C14="","",EINGABEN!C14)</f>
        <v>1.5</v>
      </c>
      <c r="K14" s="233">
        <f t="shared" si="4"/>
        <v>2.25</v>
      </c>
      <c r="L14" s="217">
        <f t="shared" si="5"/>
        <v>2.2499787148111299</v>
      </c>
      <c r="M14" s="217">
        <f t="shared" si="6"/>
        <v>4.5305926523684044E-10</v>
      </c>
      <c r="N14" s="217"/>
      <c r="O14" s="139"/>
      <c r="P14" s="139"/>
      <c r="Q14" s="139"/>
      <c r="R14" s="139"/>
      <c r="S14" s="139"/>
      <c r="T14" s="139"/>
    </row>
    <row r="15" spans="1:20" ht="15" thickBot="1" x14ac:dyDescent="0.35">
      <c r="A15" s="145">
        <f>EINGABEN!B15</f>
        <v>14</v>
      </c>
      <c r="B15" s="189">
        <f>EINGABEN!E15</f>
        <v>196</v>
      </c>
      <c r="C15" s="145"/>
      <c r="D15" s="145">
        <f t="shared" si="2"/>
        <v>2.6390573303295444</v>
      </c>
      <c r="E15" s="145">
        <f t="shared" si="3"/>
        <v>5.2781146592356194</v>
      </c>
      <c r="F15" s="235">
        <f>LN(C52*A15^C54)</f>
        <v>5.2780806295873912</v>
      </c>
      <c r="G15" s="141">
        <f t="shared" si="0"/>
        <v>13.929247181775587</v>
      </c>
      <c r="H15" s="141">
        <f t="shared" si="1"/>
        <v>6.9646235927661015</v>
      </c>
      <c r="I15" s="141">
        <f t="shared" si="1"/>
        <v>27.858494356037937</v>
      </c>
      <c r="J15" s="217">
        <f>IF(EINGABEN!C15="","",EINGABEN!C15)</f>
        <v>14</v>
      </c>
      <c r="K15" s="217">
        <f t="shared" si="4"/>
        <v>196</v>
      </c>
      <c r="L15" s="217">
        <f t="shared" si="5"/>
        <v>195.99333030343163</v>
      </c>
      <c r="M15" s="217">
        <f t="shared" si="6"/>
        <v>4.4484852314074992E-5</v>
      </c>
      <c r="N15" s="217"/>
      <c r="O15" s="139"/>
      <c r="P15" s="139"/>
      <c r="Q15" s="139"/>
      <c r="R15" s="139"/>
      <c r="S15" s="139"/>
      <c r="T15" s="139"/>
    </row>
    <row r="16" spans="1:20" ht="15" thickTop="1" x14ac:dyDescent="0.3">
      <c r="A16" s="147">
        <f>EINGABEN!B16</f>
        <v>1</v>
      </c>
      <c r="B16" s="191">
        <f>EINGABEN!E16</f>
        <v>1</v>
      </c>
      <c r="C16" s="148"/>
      <c r="D16" s="148">
        <f t="shared" si="2"/>
        <v>9.9999998892252911E-9</v>
      </c>
      <c r="E16" s="148">
        <f t="shared" si="3"/>
        <v>1.0000000822403709E-9</v>
      </c>
      <c r="F16" s="236">
        <f>LN(C52*A16^C54)</f>
        <v>-5.0000125000744233E-6</v>
      </c>
      <c r="G16" s="141">
        <f t="shared" si="0"/>
        <v>1.000000071162899E-17</v>
      </c>
      <c r="H16" s="141">
        <f t="shared" si="1"/>
        <v>9.9999997784505839E-17</v>
      </c>
      <c r="I16" s="141">
        <f t="shared" si="1"/>
        <v>1.0000001644807486E-18</v>
      </c>
      <c r="J16" s="217" t="str">
        <f>IF(EINGABEN!C16="","",EINGABEN!C16)</f>
        <v/>
      </c>
      <c r="K16" s="217" t="str">
        <f t="shared" si="4"/>
        <v/>
      </c>
      <c r="L16" s="217" t="str">
        <f t="shared" si="5"/>
        <v/>
      </c>
      <c r="M16" s="51" t="str">
        <f t="shared" si="6"/>
        <v/>
      </c>
      <c r="N16" s="51"/>
    </row>
    <row r="17" spans="1:14" x14ac:dyDescent="0.3">
      <c r="A17" s="150">
        <f>EINGABEN!B17</f>
        <v>1</v>
      </c>
      <c r="B17" s="170">
        <f>EINGABEN!E17</f>
        <v>1</v>
      </c>
      <c r="C17" s="106"/>
      <c r="D17" s="106">
        <f t="shared" si="2"/>
        <v>9.9999998892252911E-9</v>
      </c>
      <c r="E17" s="106">
        <f t="shared" si="3"/>
        <v>1.0000000822403709E-9</v>
      </c>
      <c r="F17" s="237">
        <f>LN(C52*A17^C54)</f>
        <v>-5.0000125000744233E-6</v>
      </c>
      <c r="G17" s="141">
        <f t="shared" si="0"/>
        <v>1.000000071162899E-17</v>
      </c>
      <c r="H17" s="141">
        <f t="shared" si="1"/>
        <v>9.9999997784505839E-17</v>
      </c>
      <c r="I17" s="141">
        <f t="shared" si="1"/>
        <v>1.0000001644807486E-18</v>
      </c>
      <c r="J17" s="217" t="str">
        <f>IF(EINGABEN!C17="","",EINGABEN!C17)</f>
        <v/>
      </c>
      <c r="K17" s="217" t="str">
        <f t="shared" si="4"/>
        <v/>
      </c>
      <c r="L17" s="217" t="str">
        <f t="shared" si="5"/>
        <v/>
      </c>
      <c r="M17" s="51" t="str">
        <f t="shared" si="6"/>
        <v/>
      </c>
      <c r="N17" s="51"/>
    </row>
    <row r="18" spans="1:14" x14ac:dyDescent="0.3">
      <c r="A18" s="150">
        <f>EINGABEN!B18</f>
        <v>1</v>
      </c>
      <c r="B18" s="170">
        <f>EINGABEN!E18</f>
        <v>1</v>
      </c>
      <c r="C18" s="106"/>
      <c r="D18" s="106">
        <f t="shared" si="2"/>
        <v>9.9999998892252911E-9</v>
      </c>
      <c r="E18" s="106">
        <f t="shared" si="3"/>
        <v>1.0000000822403709E-9</v>
      </c>
      <c r="F18" s="237">
        <f>LN(C52*A18^C54)</f>
        <v>-5.0000125000744233E-6</v>
      </c>
      <c r="G18" s="141">
        <f t="shared" si="0"/>
        <v>1.000000071162899E-17</v>
      </c>
      <c r="H18" s="141">
        <f t="shared" si="1"/>
        <v>9.9999997784505839E-17</v>
      </c>
      <c r="I18" s="141">
        <f t="shared" si="1"/>
        <v>1.0000001644807486E-18</v>
      </c>
      <c r="J18" s="217" t="str">
        <f>IF(EINGABEN!C18="","",EINGABEN!C18)</f>
        <v/>
      </c>
      <c r="K18" s="217" t="str">
        <f t="shared" si="4"/>
        <v/>
      </c>
      <c r="L18" s="217" t="str">
        <f t="shared" si="5"/>
        <v/>
      </c>
      <c r="M18" s="51" t="str">
        <f t="shared" si="6"/>
        <v/>
      </c>
      <c r="N18" s="51"/>
    </row>
    <row r="19" spans="1:14" x14ac:dyDescent="0.3">
      <c r="A19" s="150">
        <f>EINGABEN!B19</f>
        <v>1</v>
      </c>
      <c r="B19" s="170">
        <f>EINGABEN!E19</f>
        <v>1</v>
      </c>
      <c r="C19" s="106"/>
      <c r="D19" s="106">
        <f t="shared" si="2"/>
        <v>9.9999998892252911E-9</v>
      </c>
      <c r="E19" s="106">
        <f t="shared" si="3"/>
        <v>1.0000000822403709E-9</v>
      </c>
      <c r="F19" s="237">
        <f>LN(C52*A19^C54)</f>
        <v>-5.0000125000744233E-6</v>
      </c>
      <c r="G19" s="141">
        <f t="shared" si="0"/>
        <v>1.000000071162899E-17</v>
      </c>
      <c r="H19" s="141">
        <f t="shared" si="1"/>
        <v>9.9999997784505839E-17</v>
      </c>
      <c r="I19" s="141">
        <f t="shared" si="1"/>
        <v>1.0000001644807486E-18</v>
      </c>
      <c r="J19" s="217" t="str">
        <f>IF(EINGABEN!C19="","",EINGABEN!C19)</f>
        <v/>
      </c>
      <c r="K19" s="217" t="str">
        <f t="shared" si="4"/>
        <v/>
      </c>
      <c r="L19" s="217" t="str">
        <f t="shared" si="5"/>
        <v/>
      </c>
      <c r="M19" s="51" t="str">
        <f t="shared" si="6"/>
        <v/>
      </c>
      <c r="N19" s="51"/>
    </row>
    <row r="20" spans="1:14" x14ac:dyDescent="0.3">
      <c r="A20" s="150">
        <f>EINGABEN!B20</f>
        <v>1</v>
      </c>
      <c r="B20" s="170">
        <f>EINGABEN!E20</f>
        <v>1</v>
      </c>
      <c r="C20" s="106"/>
      <c r="D20" s="106">
        <f t="shared" si="2"/>
        <v>9.9999998892252911E-9</v>
      </c>
      <c r="E20" s="106">
        <f t="shared" si="3"/>
        <v>1.0000000822403709E-9</v>
      </c>
      <c r="F20" s="237">
        <f>LN(C52*A20^C54)</f>
        <v>-5.0000125000744233E-6</v>
      </c>
      <c r="G20" s="141">
        <f t="shared" si="0"/>
        <v>1.000000071162899E-17</v>
      </c>
      <c r="H20" s="141">
        <f t="shared" si="1"/>
        <v>9.9999997784505839E-17</v>
      </c>
      <c r="I20" s="141">
        <f t="shared" si="1"/>
        <v>1.0000001644807486E-18</v>
      </c>
      <c r="J20" s="217" t="str">
        <f>IF(EINGABEN!C20="","",EINGABEN!C20)</f>
        <v/>
      </c>
      <c r="K20" s="217" t="str">
        <f t="shared" si="4"/>
        <v/>
      </c>
      <c r="L20" s="217" t="str">
        <f t="shared" si="5"/>
        <v/>
      </c>
      <c r="M20" s="51" t="str">
        <f t="shared" si="6"/>
        <v/>
      </c>
      <c r="N20" s="51"/>
    </row>
    <row r="21" spans="1:14" x14ac:dyDescent="0.3">
      <c r="A21" s="150">
        <f>EINGABEN!B21</f>
        <v>1</v>
      </c>
      <c r="B21" s="170">
        <f>EINGABEN!E21</f>
        <v>1</v>
      </c>
      <c r="C21" s="106"/>
      <c r="D21" s="106">
        <f t="shared" si="2"/>
        <v>9.9999998892252911E-9</v>
      </c>
      <c r="E21" s="106">
        <f t="shared" si="3"/>
        <v>1.0000000822403709E-9</v>
      </c>
      <c r="F21" s="237">
        <f>LN(C52*A21^C54)</f>
        <v>-5.0000125000744233E-6</v>
      </c>
      <c r="G21" s="141">
        <f t="shared" si="0"/>
        <v>1.000000071162899E-17</v>
      </c>
      <c r="H21" s="141">
        <f t="shared" si="1"/>
        <v>9.9999997784505839E-17</v>
      </c>
      <c r="I21" s="141">
        <f t="shared" si="1"/>
        <v>1.0000001644807486E-18</v>
      </c>
      <c r="J21" s="217" t="str">
        <f>IF(EINGABEN!C21="","",EINGABEN!C21)</f>
        <v/>
      </c>
      <c r="K21" s="217" t="str">
        <f t="shared" si="4"/>
        <v/>
      </c>
      <c r="L21" s="217" t="str">
        <f t="shared" si="5"/>
        <v/>
      </c>
      <c r="M21" s="51" t="str">
        <f t="shared" si="6"/>
        <v/>
      </c>
      <c r="N21" s="51"/>
    </row>
    <row r="22" spans="1:14" x14ac:dyDescent="0.3">
      <c r="A22" s="150">
        <f>EINGABEN!B22</f>
        <v>1</v>
      </c>
      <c r="B22" s="170">
        <f>EINGABEN!E22</f>
        <v>1</v>
      </c>
      <c r="C22" s="106"/>
      <c r="D22" s="106">
        <f t="shared" si="2"/>
        <v>9.9999998892252911E-9</v>
      </c>
      <c r="E22" s="106">
        <f t="shared" si="3"/>
        <v>1.0000000822403709E-9</v>
      </c>
      <c r="F22" s="237">
        <f>LN(C52*A22^C54)</f>
        <v>-5.0000125000744233E-6</v>
      </c>
      <c r="G22" s="141">
        <f t="shared" si="0"/>
        <v>1.000000071162899E-17</v>
      </c>
      <c r="H22" s="141">
        <f t="shared" si="1"/>
        <v>9.9999997784505839E-17</v>
      </c>
      <c r="I22" s="141">
        <f t="shared" si="1"/>
        <v>1.0000001644807486E-18</v>
      </c>
      <c r="J22" s="217" t="str">
        <f>IF(EINGABEN!C22="","",EINGABEN!C22)</f>
        <v/>
      </c>
      <c r="K22" s="217" t="str">
        <f t="shared" si="4"/>
        <v/>
      </c>
      <c r="L22" s="217" t="str">
        <f t="shared" si="5"/>
        <v/>
      </c>
      <c r="M22" s="51" t="str">
        <f t="shared" si="6"/>
        <v/>
      </c>
      <c r="N22" s="51"/>
    </row>
    <row r="23" spans="1:14" x14ac:dyDescent="0.3">
      <c r="A23" s="150">
        <f>EINGABEN!B23</f>
        <v>1</v>
      </c>
      <c r="B23" s="170">
        <f>EINGABEN!E23</f>
        <v>1</v>
      </c>
      <c r="C23" s="106"/>
      <c r="D23" s="106">
        <f t="shared" si="2"/>
        <v>9.9999998892252911E-9</v>
      </c>
      <c r="E23" s="106">
        <f t="shared" si="3"/>
        <v>1.0000000822403709E-9</v>
      </c>
      <c r="F23" s="237">
        <f>LN(C52*A23^C54)</f>
        <v>-5.0000125000744233E-6</v>
      </c>
      <c r="G23" s="141">
        <f t="shared" si="0"/>
        <v>1.000000071162899E-17</v>
      </c>
      <c r="H23" s="141">
        <f t="shared" si="1"/>
        <v>9.9999997784505839E-17</v>
      </c>
      <c r="I23" s="141">
        <f t="shared" si="1"/>
        <v>1.0000001644807486E-18</v>
      </c>
      <c r="J23" s="217" t="str">
        <f>IF(EINGABEN!C23="","",EINGABEN!C23)</f>
        <v/>
      </c>
      <c r="K23" s="217" t="str">
        <f t="shared" si="4"/>
        <v/>
      </c>
      <c r="L23" s="217" t="str">
        <f t="shared" si="5"/>
        <v/>
      </c>
      <c r="M23" s="51" t="str">
        <f t="shared" si="6"/>
        <v/>
      </c>
      <c r="N23" s="51"/>
    </row>
    <row r="24" spans="1:14" x14ac:dyDescent="0.3">
      <c r="A24" s="150">
        <f>EINGABEN!B24</f>
        <v>1</v>
      </c>
      <c r="B24" s="170">
        <f>EINGABEN!E24</f>
        <v>1</v>
      </c>
      <c r="C24" s="106"/>
      <c r="D24" s="106">
        <f t="shared" si="2"/>
        <v>9.9999998892252911E-9</v>
      </c>
      <c r="E24" s="106">
        <f t="shared" si="3"/>
        <v>1.0000000822403709E-9</v>
      </c>
      <c r="F24" s="237">
        <f>LN(C52*A24^C54)</f>
        <v>-5.0000125000744233E-6</v>
      </c>
      <c r="G24" s="141">
        <f t="shared" si="0"/>
        <v>1.000000071162899E-17</v>
      </c>
      <c r="H24" s="141">
        <f t="shared" si="1"/>
        <v>9.9999997784505839E-17</v>
      </c>
      <c r="I24" s="141">
        <f t="shared" si="1"/>
        <v>1.0000001644807486E-18</v>
      </c>
      <c r="J24" s="217" t="str">
        <f>IF(EINGABEN!C24="","",EINGABEN!C24)</f>
        <v/>
      </c>
      <c r="K24" s="217" t="str">
        <f t="shared" si="4"/>
        <v/>
      </c>
      <c r="L24" s="217" t="str">
        <f t="shared" si="5"/>
        <v/>
      </c>
      <c r="M24" s="217" t="str">
        <f t="shared" si="6"/>
        <v/>
      </c>
      <c r="N24" s="217"/>
    </row>
    <row r="25" spans="1:14" x14ac:dyDescent="0.3">
      <c r="A25" s="150">
        <f>EINGABEN!B25</f>
        <v>1</v>
      </c>
      <c r="B25" s="170">
        <f>EINGABEN!E25</f>
        <v>1</v>
      </c>
      <c r="C25" s="106"/>
      <c r="D25" s="106">
        <f t="shared" si="2"/>
        <v>9.9999998892252911E-9</v>
      </c>
      <c r="E25" s="106">
        <f t="shared" si="3"/>
        <v>1.0000000822403709E-9</v>
      </c>
      <c r="F25" s="237">
        <f>LN(C52*A25^C54)</f>
        <v>-5.0000125000744233E-6</v>
      </c>
      <c r="G25" s="141">
        <f t="shared" si="0"/>
        <v>1.000000071162899E-17</v>
      </c>
      <c r="H25" s="141">
        <f t="shared" si="1"/>
        <v>9.9999997784505839E-17</v>
      </c>
      <c r="I25" s="141">
        <f t="shared" si="1"/>
        <v>1.0000001644807486E-18</v>
      </c>
      <c r="J25" s="217" t="str">
        <f>IF(EINGABEN!C25="","",EINGABEN!C25)</f>
        <v/>
      </c>
      <c r="K25" s="217" t="str">
        <f t="shared" si="4"/>
        <v/>
      </c>
      <c r="L25" s="217" t="str">
        <f t="shared" si="5"/>
        <v/>
      </c>
      <c r="M25" s="217" t="str">
        <f t="shared" si="6"/>
        <v/>
      </c>
      <c r="N25" s="217"/>
    </row>
    <row r="26" spans="1:14" x14ac:dyDescent="0.3">
      <c r="A26" s="150">
        <f>EINGABEN!B26</f>
        <v>1</v>
      </c>
      <c r="B26" s="170">
        <f>EINGABEN!E26</f>
        <v>1</v>
      </c>
      <c r="C26" s="106"/>
      <c r="D26" s="106">
        <f t="shared" si="2"/>
        <v>9.9999998892252911E-9</v>
      </c>
      <c r="E26" s="106">
        <f t="shared" si="3"/>
        <v>1.0000000822403709E-9</v>
      </c>
      <c r="F26" s="237">
        <f>LN(C52*A26^C54)</f>
        <v>-5.0000125000744233E-6</v>
      </c>
      <c r="G26" s="141">
        <f t="shared" si="0"/>
        <v>1.000000071162899E-17</v>
      </c>
      <c r="H26" s="141">
        <f t="shared" si="1"/>
        <v>9.9999997784505839E-17</v>
      </c>
      <c r="I26" s="141">
        <f t="shared" si="1"/>
        <v>1.0000001644807486E-18</v>
      </c>
      <c r="J26" s="217" t="str">
        <f>IF(EINGABEN!C26="","",EINGABEN!C26)</f>
        <v/>
      </c>
      <c r="K26" s="217" t="str">
        <f t="shared" si="4"/>
        <v/>
      </c>
      <c r="L26" s="217" t="str">
        <f t="shared" si="5"/>
        <v/>
      </c>
      <c r="M26" s="217" t="str">
        <f t="shared" si="6"/>
        <v/>
      </c>
      <c r="N26" s="217"/>
    </row>
    <row r="27" spans="1:14" x14ac:dyDescent="0.3">
      <c r="A27" s="150">
        <f>EINGABEN!B27</f>
        <v>1</v>
      </c>
      <c r="B27" s="170">
        <f>EINGABEN!E27</f>
        <v>1</v>
      </c>
      <c r="C27" s="106"/>
      <c r="D27" s="106">
        <f t="shared" si="2"/>
        <v>9.9999998892252911E-9</v>
      </c>
      <c r="E27" s="106">
        <f t="shared" si="3"/>
        <v>1.0000000822403709E-9</v>
      </c>
      <c r="F27" s="237">
        <f>LN(C52*A27^C54)</f>
        <v>-5.0000125000744233E-6</v>
      </c>
      <c r="G27" s="141">
        <f t="shared" si="0"/>
        <v>1.000000071162899E-17</v>
      </c>
      <c r="H27" s="141">
        <f t="shared" si="1"/>
        <v>9.9999997784505839E-17</v>
      </c>
      <c r="I27" s="141">
        <f t="shared" si="1"/>
        <v>1.0000001644807486E-18</v>
      </c>
      <c r="J27" s="217" t="str">
        <f>IF(EINGABEN!C27="","",EINGABEN!C27)</f>
        <v/>
      </c>
      <c r="K27" s="217" t="str">
        <f t="shared" si="4"/>
        <v/>
      </c>
      <c r="L27" s="217" t="str">
        <f t="shared" si="5"/>
        <v/>
      </c>
      <c r="M27" s="217" t="str">
        <f t="shared" si="6"/>
        <v/>
      </c>
      <c r="N27" s="217"/>
    </row>
    <row r="28" spans="1:14" x14ac:dyDescent="0.3">
      <c r="A28" s="150">
        <f>EINGABEN!B28</f>
        <v>1</v>
      </c>
      <c r="B28" s="170">
        <f>EINGABEN!E28</f>
        <v>1</v>
      </c>
      <c r="C28" s="106"/>
      <c r="D28" s="106">
        <f t="shared" si="2"/>
        <v>9.9999998892252911E-9</v>
      </c>
      <c r="E28" s="106">
        <f t="shared" si="3"/>
        <v>1.0000000822403709E-9</v>
      </c>
      <c r="F28" s="237">
        <f>LN(C52*A28^C54)</f>
        <v>-5.0000125000744233E-6</v>
      </c>
      <c r="G28" s="141">
        <f t="shared" si="0"/>
        <v>1.000000071162899E-17</v>
      </c>
      <c r="H28" s="141">
        <f t="shared" si="1"/>
        <v>9.9999997784505839E-17</v>
      </c>
      <c r="I28" s="141">
        <f t="shared" si="1"/>
        <v>1.0000001644807486E-18</v>
      </c>
      <c r="J28" s="139" t="str">
        <f>IF(EINGABEN!C28="","",EINGABEN!C28)</f>
        <v/>
      </c>
      <c r="K28" s="139" t="str">
        <f t="shared" si="4"/>
        <v/>
      </c>
      <c r="L28" s="139" t="str">
        <f t="shared" si="5"/>
        <v/>
      </c>
      <c r="M28" s="139" t="str">
        <f t="shared" si="6"/>
        <v/>
      </c>
      <c r="N28" s="139"/>
    </row>
    <row r="29" spans="1:14" x14ac:dyDescent="0.3">
      <c r="A29" s="150">
        <f>EINGABEN!B29</f>
        <v>1</v>
      </c>
      <c r="B29" s="170">
        <f>EINGABEN!E29</f>
        <v>1</v>
      </c>
      <c r="C29" s="106"/>
      <c r="D29" s="106">
        <f t="shared" si="2"/>
        <v>9.9999998892252911E-9</v>
      </c>
      <c r="E29" s="106">
        <f t="shared" si="3"/>
        <v>1.0000000822403709E-9</v>
      </c>
      <c r="F29" s="237">
        <f>LN(C52*A29^C54)</f>
        <v>-5.0000125000744233E-6</v>
      </c>
      <c r="G29" s="141">
        <f t="shared" si="0"/>
        <v>1.000000071162899E-17</v>
      </c>
      <c r="H29" s="141">
        <f t="shared" si="1"/>
        <v>9.9999997784505839E-17</v>
      </c>
      <c r="I29" s="141">
        <f t="shared" si="1"/>
        <v>1.0000001644807486E-18</v>
      </c>
      <c r="J29" s="139" t="str">
        <f>IF(EINGABEN!C29="","",EINGABEN!C29)</f>
        <v/>
      </c>
      <c r="K29" s="139" t="str">
        <f t="shared" si="4"/>
        <v/>
      </c>
      <c r="L29" s="139" t="str">
        <f t="shared" si="5"/>
        <v/>
      </c>
      <c r="M29" s="139" t="str">
        <f t="shared" si="6"/>
        <v/>
      </c>
      <c r="N29" s="139"/>
    </row>
    <row r="30" spans="1:14" x14ac:dyDescent="0.3">
      <c r="A30" s="150">
        <f>EINGABEN!B30</f>
        <v>1</v>
      </c>
      <c r="B30" s="170">
        <f>EINGABEN!E30</f>
        <v>1</v>
      </c>
      <c r="C30" s="106"/>
      <c r="D30" s="106">
        <f t="shared" si="2"/>
        <v>9.9999998892252911E-9</v>
      </c>
      <c r="E30" s="106">
        <f t="shared" si="3"/>
        <v>1.0000000822403709E-9</v>
      </c>
      <c r="F30" s="237">
        <f>LN(C52*A30^C54)</f>
        <v>-5.0000125000744233E-6</v>
      </c>
      <c r="G30" s="141">
        <f t="shared" si="0"/>
        <v>1.000000071162899E-17</v>
      </c>
      <c r="H30" s="141">
        <f t="shared" si="1"/>
        <v>9.9999997784505839E-17</v>
      </c>
      <c r="I30" s="141">
        <f t="shared" si="1"/>
        <v>1.0000001644807486E-18</v>
      </c>
      <c r="J30" s="139" t="str">
        <f>IF(EINGABEN!C30="","",EINGABEN!C30)</f>
        <v/>
      </c>
      <c r="K30" s="139" t="str">
        <f t="shared" si="4"/>
        <v/>
      </c>
      <c r="L30" s="139" t="str">
        <f t="shared" si="5"/>
        <v/>
      </c>
      <c r="M30" s="139" t="str">
        <f t="shared" si="6"/>
        <v/>
      </c>
      <c r="N30" s="139"/>
    </row>
    <row r="31" spans="1:14" x14ac:dyDescent="0.3">
      <c r="A31" s="150">
        <f>EINGABEN!B31</f>
        <v>1</v>
      </c>
      <c r="B31" s="170">
        <f>EINGABEN!E31</f>
        <v>1</v>
      </c>
      <c r="C31" s="106"/>
      <c r="D31" s="106">
        <f t="shared" si="2"/>
        <v>9.9999998892252911E-9</v>
      </c>
      <c r="E31" s="106">
        <f t="shared" si="3"/>
        <v>1.0000000822403709E-9</v>
      </c>
      <c r="F31" s="237">
        <f>LN(C52*A31^C54)</f>
        <v>-5.0000125000744233E-6</v>
      </c>
      <c r="G31" s="141">
        <f t="shared" si="0"/>
        <v>1.000000071162899E-17</v>
      </c>
      <c r="H31" s="141">
        <f t="shared" si="1"/>
        <v>9.9999997784505839E-17</v>
      </c>
      <c r="I31" s="141">
        <f t="shared" si="1"/>
        <v>1.0000001644807486E-18</v>
      </c>
      <c r="J31" s="139" t="str">
        <f>IF(EINGABEN!C31="","",EINGABEN!C31)</f>
        <v/>
      </c>
      <c r="K31" s="139" t="str">
        <f t="shared" si="4"/>
        <v/>
      </c>
      <c r="L31" s="139" t="str">
        <f t="shared" si="5"/>
        <v/>
      </c>
      <c r="M31" s="139" t="str">
        <f t="shared" si="6"/>
        <v/>
      </c>
      <c r="N31" s="139"/>
    </row>
    <row r="32" spans="1:14" x14ac:dyDescent="0.3">
      <c r="A32" s="150">
        <f>EINGABEN!B32</f>
        <v>1</v>
      </c>
      <c r="B32" s="170">
        <f>EINGABEN!E32</f>
        <v>1</v>
      </c>
      <c r="C32" s="106"/>
      <c r="D32" s="106">
        <f t="shared" si="2"/>
        <v>9.9999998892252911E-9</v>
      </c>
      <c r="E32" s="106">
        <f t="shared" si="3"/>
        <v>1.0000000822403709E-9</v>
      </c>
      <c r="F32" s="237">
        <f>LN(C52*A32^C54)</f>
        <v>-5.0000125000744233E-6</v>
      </c>
      <c r="G32" s="141">
        <f t="shared" si="0"/>
        <v>1.000000071162899E-17</v>
      </c>
      <c r="H32" s="141">
        <f t="shared" si="1"/>
        <v>9.9999997784505839E-17</v>
      </c>
      <c r="I32" s="141">
        <f t="shared" si="1"/>
        <v>1.0000001644807486E-18</v>
      </c>
      <c r="J32" s="139" t="str">
        <f>IF(EINGABEN!C32="","",EINGABEN!C32)</f>
        <v/>
      </c>
      <c r="K32" s="139" t="str">
        <f t="shared" si="4"/>
        <v/>
      </c>
      <c r="L32" s="139" t="str">
        <f t="shared" si="5"/>
        <v/>
      </c>
      <c r="M32" s="139" t="str">
        <f t="shared" si="6"/>
        <v/>
      </c>
      <c r="N32" s="139"/>
    </row>
    <row r="33" spans="1:14" x14ac:dyDescent="0.3">
      <c r="A33" s="150">
        <f>EINGABEN!B33</f>
        <v>1</v>
      </c>
      <c r="B33" s="170">
        <f>EINGABEN!E33</f>
        <v>1</v>
      </c>
      <c r="C33" s="106"/>
      <c r="D33" s="106">
        <f t="shared" si="2"/>
        <v>9.9999998892252911E-9</v>
      </c>
      <c r="E33" s="106">
        <f t="shared" si="3"/>
        <v>1.0000000822403709E-9</v>
      </c>
      <c r="F33" s="237">
        <f>LN(C52*A33^C54)</f>
        <v>-5.0000125000744233E-6</v>
      </c>
      <c r="G33" s="141">
        <f t="shared" si="0"/>
        <v>1.000000071162899E-17</v>
      </c>
      <c r="H33" s="141">
        <f t="shared" si="1"/>
        <v>9.9999997784505839E-17</v>
      </c>
      <c r="I33" s="141">
        <f t="shared" si="1"/>
        <v>1.0000001644807486E-18</v>
      </c>
      <c r="J33" s="139" t="str">
        <f>IF(EINGABEN!C33="","",EINGABEN!C33)</f>
        <v/>
      </c>
      <c r="K33" s="139" t="str">
        <f t="shared" si="4"/>
        <v/>
      </c>
      <c r="L33" s="139" t="str">
        <f t="shared" si="5"/>
        <v/>
      </c>
      <c r="M33" s="139" t="str">
        <f t="shared" si="6"/>
        <v/>
      </c>
      <c r="N33" s="139"/>
    </row>
    <row r="34" spans="1:14" x14ac:dyDescent="0.3">
      <c r="A34" s="150">
        <f>EINGABEN!B34</f>
        <v>1</v>
      </c>
      <c r="B34" s="170">
        <f>EINGABEN!E34</f>
        <v>1</v>
      </c>
      <c r="C34" s="106"/>
      <c r="D34" s="106">
        <f t="shared" si="2"/>
        <v>9.9999998892252911E-9</v>
      </c>
      <c r="E34" s="106">
        <f t="shared" si="3"/>
        <v>1.0000000822403709E-9</v>
      </c>
      <c r="F34" s="237">
        <f>LN(C52*A34^C54)</f>
        <v>-5.0000125000744233E-6</v>
      </c>
      <c r="G34" s="141">
        <f t="shared" si="0"/>
        <v>1.000000071162899E-17</v>
      </c>
      <c r="H34" s="141">
        <f t="shared" si="1"/>
        <v>9.9999997784505839E-17</v>
      </c>
      <c r="I34" s="141">
        <f t="shared" si="1"/>
        <v>1.0000001644807486E-18</v>
      </c>
      <c r="J34" s="139" t="str">
        <f>IF(EINGABEN!C34="","",EINGABEN!C34)</f>
        <v/>
      </c>
      <c r="K34" s="139" t="str">
        <f t="shared" si="4"/>
        <v/>
      </c>
      <c r="L34" s="139" t="str">
        <f t="shared" si="5"/>
        <v/>
      </c>
      <c r="M34" s="139" t="str">
        <f t="shared" si="6"/>
        <v/>
      </c>
      <c r="N34" s="139"/>
    </row>
    <row r="35" spans="1:14" x14ac:dyDescent="0.3">
      <c r="A35" s="150">
        <f>EINGABEN!B35</f>
        <v>1</v>
      </c>
      <c r="B35" s="170">
        <f>EINGABEN!E35</f>
        <v>1</v>
      </c>
      <c r="C35" s="106"/>
      <c r="D35" s="106">
        <f t="shared" si="2"/>
        <v>9.9999998892252911E-9</v>
      </c>
      <c r="E35" s="106">
        <f t="shared" si="3"/>
        <v>1.0000000822403709E-9</v>
      </c>
      <c r="F35" s="237">
        <f>LN(C52*A35^C54)</f>
        <v>-5.0000125000744233E-6</v>
      </c>
      <c r="G35" s="141">
        <f t="shared" si="0"/>
        <v>1.000000071162899E-17</v>
      </c>
      <c r="H35" s="141">
        <f t="shared" si="1"/>
        <v>9.9999997784505839E-17</v>
      </c>
      <c r="I35" s="141">
        <f t="shared" si="1"/>
        <v>1.0000001644807486E-18</v>
      </c>
      <c r="J35" s="139" t="str">
        <f>IF(EINGABEN!C35="","",EINGABEN!C35)</f>
        <v/>
      </c>
      <c r="K35" s="139" t="str">
        <f t="shared" si="4"/>
        <v/>
      </c>
      <c r="L35" s="139" t="str">
        <f t="shared" si="5"/>
        <v/>
      </c>
      <c r="M35" s="139" t="str">
        <f t="shared" si="6"/>
        <v/>
      </c>
      <c r="N35" s="139"/>
    </row>
    <row r="36" spans="1:14" x14ac:dyDescent="0.3">
      <c r="A36" s="150">
        <f>EINGABEN!B36</f>
        <v>1</v>
      </c>
      <c r="B36" s="170">
        <f>EINGABEN!E36</f>
        <v>1</v>
      </c>
      <c r="C36" s="106"/>
      <c r="D36" s="106">
        <f t="shared" si="2"/>
        <v>9.9999998892252911E-9</v>
      </c>
      <c r="E36" s="106">
        <f t="shared" si="3"/>
        <v>1.0000000822403709E-9</v>
      </c>
      <c r="F36" s="237">
        <f>LN(C52*A36^C54)</f>
        <v>-5.0000125000744233E-6</v>
      </c>
      <c r="G36" s="141">
        <f t="shared" si="0"/>
        <v>1.000000071162899E-17</v>
      </c>
      <c r="H36" s="141">
        <f t="shared" si="1"/>
        <v>9.9999997784505839E-17</v>
      </c>
      <c r="I36" s="141">
        <f t="shared" si="1"/>
        <v>1.0000001644807486E-18</v>
      </c>
      <c r="J36" s="139" t="str">
        <f>IF(EINGABEN!C36="","",EINGABEN!C36)</f>
        <v/>
      </c>
      <c r="K36" s="139" t="str">
        <f t="shared" si="4"/>
        <v/>
      </c>
      <c r="L36" s="139" t="str">
        <f t="shared" si="5"/>
        <v/>
      </c>
      <c r="M36" s="139" t="str">
        <f t="shared" si="6"/>
        <v/>
      </c>
      <c r="N36" s="139"/>
    </row>
    <row r="37" spans="1:14" x14ac:dyDescent="0.3">
      <c r="A37" s="150">
        <f>EINGABEN!B37</f>
        <v>1</v>
      </c>
      <c r="B37" s="170">
        <f>EINGABEN!E37</f>
        <v>1</v>
      </c>
      <c r="C37" s="106"/>
      <c r="D37" s="106">
        <f t="shared" si="2"/>
        <v>9.9999998892252911E-9</v>
      </c>
      <c r="E37" s="106">
        <f t="shared" si="3"/>
        <v>1.0000000822403709E-9</v>
      </c>
      <c r="F37" s="237">
        <f>LN(C52*A37^C54)</f>
        <v>-5.0000125000744233E-6</v>
      </c>
      <c r="G37" s="141">
        <f t="shared" si="0"/>
        <v>1.000000071162899E-17</v>
      </c>
      <c r="H37" s="141">
        <f t="shared" si="1"/>
        <v>9.9999997784505839E-17</v>
      </c>
      <c r="I37" s="141">
        <f t="shared" si="1"/>
        <v>1.0000001644807486E-18</v>
      </c>
      <c r="J37" s="139" t="str">
        <f>IF(EINGABEN!C37="","",EINGABEN!C37)</f>
        <v/>
      </c>
      <c r="K37" s="139" t="str">
        <f t="shared" si="4"/>
        <v/>
      </c>
      <c r="L37" s="139" t="str">
        <f t="shared" si="5"/>
        <v/>
      </c>
      <c r="M37" s="139" t="str">
        <f t="shared" si="6"/>
        <v/>
      </c>
      <c r="N37" s="139"/>
    </row>
    <row r="38" spans="1:14" x14ac:dyDescent="0.3">
      <c r="A38" s="150">
        <f>EINGABEN!B38</f>
        <v>1</v>
      </c>
      <c r="B38" s="170">
        <f>EINGABEN!E38</f>
        <v>1</v>
      </c>
      <c r="C38" s="106"/>
      <c r="D38" s="106">
        <f t="shared" si="2"/>
        <v>9.9999998892252911E-9</v>
      </c>
      <c r="E38" s="106">
        <f t="shared" si="3"/>
        <v>1.0000000822403709E-9</v>
      </c>
      <c r="F38" s="237">
        <f>LN(C52*A38^C54)</f>
        <v>-5.0000125000744233E-6</v>
      </c>
      <c r="G38" s="141">
        <f t="shared" si="0"/>
        <v>1.000000071162899E-17</v>
      </c>
      <c r="H38" s="141">
        <f t="shared" si="1"/>
        <v>9.9999997784505839E-17</v>
      </c>
      <c r="I38" s="141">
        <f t="shared" si="1"/>
        <v>1.0000001644807486E-18</v>
      </c>
      <c r="J38" s="139" t="str">
        <f>IF(EINGABEN!C38="","",EINGABEN!C38)</f>
        <v/>
      </c>
      <c r="K38" s="139" t="str">
        <f t="shared" si="4"/>
        <v/>
      </c>
      <c r="L38" s="139" t="str">
        <f t="shared" si="5"/>
        <v/>
      </c>
      <c r="M38" s="139" t="str">
        <f t="shared" si="6"/>
        <v/>
      </c>
      <c r="N38" s="139"/>
    </row>
    <row r="39" spans="1:14" x14ac:dyDescent="0.3">
      <c r="A39" s="150">
        <f>EINGABEN!B39</f>
        <v>1</v>
      </c>
      <c r="B39" s="170">
        <f>EINGABEN!E39</f>
        <v>1</v>
      </c>
      <c r="C39" s="106"/>
      <c r="D39" s="106">
        <f t="shared" si="2"/>
        <v>9.9999998892252911E-9</v>
      </c>
      <c r="E39" s="106">
        <f t="shared" si="3"/>
        <v>1.0000000822403709E-9</v>
      </c>
      <c r="F39" s="237">
        <f>LN(C52*A39^C54)</f>
        <v>-5.0000125000744233E-6</v>
      </c>
      <c r="G39" s="141">
        <f t="shared" si="0"/>
        <v>1.000000071162899E-17</v>
      </c>
      <c r="H39" s="141">
        <f t="shared" si="1"/>
        <v>9.9999997784505839E-17</v>
      </c>
      <c r="I39" s="141">
        <f t="shared" si="1"/>
        <v>1.0000001644807486E-18</v>
      </c>
      <c r="J39" s="139" t="str">
        <f>IF(EINGABEN!C39="","",EINGABEN!C39)</f>
        <v/>
      </c>
      <c r="K39" s="139" t="str">
        <f>IF(J39="","",B39)</f>
        <v/>
      </c>
      <c r="L39" s="139" t="str">
        <f t="shared" si="5"/>
        <v/>
      </c>
      <c r="M39" s="139" t="str">
        <f t="shared" si="6"/>
        <v/>
      </c>
      <c r="N39" s="139"/>
    </row>
    <row r="40" spans="1:14" x14ac:dyDescent="0.3">
      <c r="A40" s="150">
        <f>EINGABEN!B40</f>
        <v>1</v>
      </c>
      <c r="B40" s="170">
        <f>EINGABEN!E40</f>
        <v>1</v>
      </c>
      <c r="C40" s="106"/>
      <c r="D40" s="106">
        <f t="shared" si="2"/>
        <v>9.9999998892252911E-9</v>
      </c>
      <c r="E40" s="106">
        <f t="shared" si="3"/>
        <v>1.0000000822403709E-9</v>
      </c>
      <c r="F40" s="237">
        <f>LN(C52*A40^C54)</f>
        <v>-5.0000125000744233E-6</v>
      </c>
      <c r="G40" s="141">
        <f t="shared" si="0"/>
        <v>1.000000071162899E-17</v>
      </c>
      <c r="H40" s="141">
        <f t="shared" si="1"/>
        <v>9.9999997784505839E-17</v>
      </c>
      <c r="I40" s="141">
        <f t="shared" si="1"/>
        <v>1.0000001644807486E-18</v>
      </c>
      <c r="J40" s="139" t="str">
        <f>IF(EINGABEN!C40="","",EINGABEN!C40)</f>
        <v/>
      </c>
      <c r="K40" s="139" t="str">
        <f t="shared" si="4"/>
        <v/>
      </c>
      <c r="L40" s="139" t="str">
        <f t="shared" si="5"/>
        <v/>
      </c>
      <c r="M40" s="139" t="str">
        <f t="shared" si="6"/>
        <v/>
      </c>
      <c r="N40" s="139"/>
    </row>
    <row r="41" spans="1:14" x14ac:dyDescent="0.3">
      <c r="A41" s="150">
        <f>EINGABEN!B41</f>
        <v>1</v>
      </c>
      <c r="B41" s="170">
        <f>EINGABEN!E41</f>
        <v>1</v>
      </c>
      <c r="C41" s="106"/>
      <c r="D41" s="106">
        <f t="shared" si="2"/>
        <v>9.9999998892252911E-9</v>
      </c>
      <c r="E41" s="106">
        <f t="shared" si="3"/>
        <v>1.0000000822403709E-9</v>
      </c>
      <c r="F41" s="237">
        <f>LN(C52*A41^C54)</f>
        <v>-5.0000125000744233E-6</v>
      </c>
      <c r="G41" s="141">
        <f t="shared" si="0"/>
        <v>1.000000071162899E-17</v>
      </c>
      <c r="H41" s="141">
        <f t="shared" si="1"/>
        <v>9.9999997784505839E-17</v>
      </c>
      <c r="I41" s="141">
        <f t="shared" si="1"/>
        <v>1.0000001644807486E-18</v>
      </c>
      <c r="J41" s="139" t="str">
        <f>IF(EINGABEN!C41="","",EINGABEN!C41)</f>
        <v/>
      </c>
      <c r="K41" s="139" t="str">
        <f t="shared" si="4"/>
        <v/>
      </c>
      <c r="L41" s="139" t="str">
        <f t="shared" si="5"/>
        <v/>
      </c>
      <c r="M41" s="139" t="str">
        <f t="shared" si="6"/>
        <v/>
      </c>
      <c r="N41" s="139"/>
    </row>
    <row r="42" spans="1:14" x14ac:dyDescent="0.3">
      <c r="A42" s="150">
        <f>EINGABEN!B42</f>
        <v>1</v>
      </c>
      <c r="B42" s="170">
        <f>EINGABEN!E42</f>
        <v>1</v>
      </c>
      <c r="C42" s="106"/>
      <c r="D42" s="106">
        <f t="shared" si="2"/>
        <v>9.9999998892252911E-9</v>
      </c>
      <c r="E42" s="106">
        <f t="shared" si="3"/>
        <v>1.0000000822403709E-9</v>
      </c>
      <c r="F42" s="237">
        <f>LN(C52*A42^C54)</f>
        <v>-5.0000125000744233E-6</v>
      </c>
      <c r="G42" s="141">
        <f t="shared" si="0"/>
        <v>1.000000071162899E-17</v>
      </c>
      <c r="H42" s="141">
        <f t="shared" si="1"/>
        <v>9.9999997784505839E-17</v>
      </c>
      <c r="I42" s="141">
        <f t="shared" si="1"/>
        <v>1.0000001644807486E-18</v>
      </c>
      <c r="J42" s="139" t="str">
        <f>IF(EINGABEN!C42="","",EINGABEN!C42)</f>
        <v/>
      </c>
      <c r="K42" s="139" t="str">
        <f t="shared" si="4"/>
        <v/>
      </c>
      <c r="L42" s="139" t="str">
        <f t="shared" si="5"/>
        <v/>
      </c>
      <c r="M42" s="139" t="str">
        <f t="shared" si="6"/>
        <v/>
      </c>
      <c r="N42" s="139"/>
    </row>
    <row r="43" spans="1:14" x14ac:dyDescent="0.3">
      <c r="A43" s="150">
        <f>EINGABEN!B43</f>
        <v>1</v>
      </c>
      <c r="B43" s="170">
        <f>EINGABEN!E43</f>
        <v>1</v>
      </c>
      <c r="C43" s="106"/>
      <c r="D43" s="106">
        <f t="shared" si="2"/>
        <v>9.9999998892252911E-9</v>
      </c>
      <c r="E43" s="106">
        <f t="shared" si="3"/>
        <v>1.0000000822403709E-9</v>
      </c>
      <c r="F43" s="237">
        <f>LN(C52*A43^C54)</f>
        <v>-5.0000125000744233E-6</v>
      </c>
      <c r="G43" s="141">
        <f t="shared" si="0"/>
        <v>1.000000071162899E-17</v>
      </c>
      <c r="H43" s="141">
        <f t="shared" si="1"/>
        <v>9.9999997784505839E-17</v>
      </c>
      <c r="I43" s="141">
        <f t="shared" si="1"/>
        <v>1.0000001644807486E-18</v>
      </c>
      <c r="J43" s="139" t="str">
        <f>IF(EINGABEN!C43="","",EINGABEN!C43)</f>
        <v/>
      </c>
      <c r="K43" s="139" t="str">
        <f t="shared" si="4"/>
        <v/>
      </c>
      <c r="L43" s="139" t="str">
        <f t="shared" si="5"/>
        <v/>
      </c>
      <c r="M43" s="139" t="str">
        <f t="shared" si="6"/>
        <v/>
      </c>
      <c r="N43" s="139"/>
    </row>
    <row r="44" spans="1:14" x14ac:dyDescent="0.3">
      <c r="A44" s="150">
        <f>EINGABEN!B44</f>
        <v>1</v>
      </c>
      <c r="B44" s="170">
        <f>EINGABEN!E44</f>
        <v>1</v>
      </c>
      <c r="C44" s="106"/>
      <c r="D44" s="106">
        <f t="shared" si="2"/>
        <v>9.9999998892252911E-9</v>
      </c>
      <c r="E44" s="106">
        <f t="shared" si="3"/>
        <v>1.0000000822403709E-9</v>
      </c>
      <c r="F44" s="237">
        <f>LN(C52*A44^C54)</f>
        <v>-5.0000125000744233E-6</v>
      </c>
      <c r="G44" s="141">
        <f t="shared" si="0"/>
        <v>1.000000071162899E-17</v>
      </c>
      <c r="H44" s="141">
        <f t="shared" si="1"/>
        <v>9.9999997784505839E-17</v>
      </c>
      <c r="I44" s="141">
        <f t="shared" si="1"/>
        <v>1.0000001644807486E-18</v>
      </c>
      <c r="J44" s="139" t="str">
        <f>IF(EINGABEN!C44="","",EINGABEN!C44)</f>
        <v/>
      </c>
      <c r="K44" s="139" t="str">
        <f t="shared" si="4"/>
        <v/>
      </c>
      <c r="L44" s="139" t="str">
        <f t="shared" si="5"/>
        <v/>
      </c>
      <c r="M44" s="139" t="str">
        <f t="shared" si="6"/>
        <v/>
      </c>
      <c r="N44" s="139"/>
    </row>
    <row r="45" spans="1:14" ht="15" thickBot="1" x14ac:dyDescent="0.35">
      <c r="A45" s="150">
        <f>EINGABEN!B45</f>
        <v>1</v>
      </c>
      <c r="B45" s="170">
        <f>EINGABEN!E45</f>
        <v>1</v>
      </c>
      <c r="C45" s="106"/>
      <c r="D45" s="106">
        <f t="shared" si="2"/>
        <v>9.9999998892252911E-9</v>
      </c>
      <c r="E45" s="106">
        <f t="shared" si="3"/>
        <v>1.0000000822403709E-9</v>
      </c>
      <c r="F45" s="237">
        <f>LN(C52*A45^C54)</f>
        <v>-5.0000125000744233E-6</v>
      </c>
      <c r="G45" s="141">
        <f t="shared" si="0"/>
        <v>1.000000071162899E-17</v>
      </c>
      <c r="H45" s="141">
        <f t="shared" si="1"/>
        <v>9.9999997784505839E-17</v>
      </c>
      <c r="I45" s="141">
        <f t="shared" si="1"/>
        <v>1.0000001644807486E-18</v>
      </c>
      <c r="J45" s="139" t="str">
        <f>IF(EINGABEN!C45="","",EINGABEN!C45)</f>
        <v/>
      </c>
      <c r="K45" s="139" t="str">
        <f t="shared" si="4"/>
        <v/>
      </c>
      <c r="L45" s="139" t="str">
        <f t="shared" si="5"/>
        <v/>
      </c>
      <c r="M45" s="139" t="str">
        <f t="shared" si="6"/>
        <v/>
      </c>
      <c r="N45" s="139"/>
    </row>
    <row r="46" spans="1:14" ht="15" thickTop="1" x14ac:dyDescent="0.3">
      <c r="A46" s="238" t="s">
        <v>44</v>
      </c>
      <c r="B46" s="239"/>
      <c r="C46" s="239"/>
      <c r="D46" s="239"/>
      <c r="E46" s="239"/>
      <c r="F46" s="240"/>
      <c r="G46" s="217"/>
      <c r="H46" s="217"/>
      <c r="I46" s="217"/>
      <c r="J46" s="139"/>
      <c r="K46" s="156"/>
      <c r="L46" s="156" t="s">
        <v>116</v>
      </c>
      <c r="M46" s="156">
        <f>((SUM(M6:M45))/((EINGABEN!D46)-1))^0.5</f>
        <v>3.9691680798563701E-3</v>
      </c>
      <c r="N46" s="139"/>
    </row>
    <row r="47" spans="1:14" x14ac:dyDescent="0.3">
      <c r="A47" s="241" t="s">
        <v>40</v>
      </c>
      <c r="B47" s="51" t="s">
        <v>45</v>
      </c>
      <c r="C47" s="51"/>
      <c r="D47" s="51"/>
      <c r="E47" s="51"/>
      <c r="F47" s="177"/>
      <c r="G47" s="139"/>
      <c r="H47" s="139"/>
      <c r="I47" s="139"/>
      <c r="J47" s="139"/>
      <c r="K47" s="156"/>
      <c r="L47" s="156"/>
      <c r="M47" s="156"/>
      <c r="N47" s="139"/>
    </row>
    <row r="48" spans="1:14" x14ac:dyDescent="0.3">
      <c r="A48" s="241" t="s">
        <v>41</v>
      </c>
      <c r="B48" s="51" t="s">
        <v>42</v>
      </c>
      <c r="C48" s="51"/>
      <c r="D48" s="51"/>
      <c r="E48" s="51"/>
      <c r="F48" s="177"/>
      <c r="G48" s="139"/>
      <c r="H48" s="139"/>
      <c r="I48" s="139"/>
      <c r="J48" s="139"/>
      <c r="K48" s="156" t="s">
        <v>117</v>
      </c>
      <c r="L48" s="156">
        <f>(SUM(L6:L45))/(EINGABEN!D46)</f>
        <v>82.272386067005201</v>
      </c>
      <c r="M48" s="156"/>
      <c r="N48" s="139"/>
    </row>
    <row r="49" spans="1:14" ht="15" thickBot="1" x14ac:dyDescent="0.35">
      <c r="A49" s="231" t="s">
        <v>39</v>
      </c>
      <c r="B49" s="242"/>
      <c r="C49" s="242"/>
      <c r="D49" s="242"/>
      <c r="E49" s="242"/>
      <c r="F49" s="196"/>
      <c r="G49" s="139"/>
      <c r="H49" s="139"/>
      <c r="I49" s="139"/>
      <c r="J49" s="139"/>
      <c r="K49" s="139"/>
      <c r="L49" s="139"/>
      <c r="M49" s="139"/>
      <c r="N49" s="139"/>
    </row>
    <row r="50" spans="1:14" ht="15" thickTop="1" x14ac:dyDescent="0.3">
      <c r="A50" s="238"/>
      <c r="B50" s="239"/>
      <c r="C50" s="239"/>
      <c r="D50" s="239"/>
      <c r="E50" s="239"/>
      <c r="F50" s="224"/>
      <c r="G50" s="139"/>
      <c r="H50" s="139"/>
      <c r="I50" s="139"/>
      <c r="J50" s="139"/>
      <c r="K50" s="139"/>
      <c r="L50" s="139"/>
      <c r="M50" s="139"/>
      <c r="N50" s="139"/>
    </row>
    <row r="51" spans="1:14" x14ac:dyDescent="0.3">
      <c r="A51" s="241"/>
      <c r="B51" s="51"/>
      <c r="C51" s="51"/>
      <c r="D51" s="51"/>
      <c r="E51" s="51"/>
      <c r="F51" s="177"/>
      <c r="G51" s="139"/>
      <c r="H51" s="139"/>
      <c r="I51" s="139"/>
      <c r="J51" s="139"/>
      <c r="K51" s="139"/>
      <c r="L51" s="139"/>
      <c r="M51" s="139"/>
      <c r="N51" s="139"/>
    </row>
    <row r="52" spans="1:14" x14ac:dyDescent="0.3">
      <c r="A52" s="225" t="s">
        <v>11</v>
      </c>
      <c r="B52" s="226"/>
      <c r="C52" s="164">
        <f>IF(MIN(EINGABEN!C6:'EINGABEN'!C45)&lt;1,"keine Lösung",IF(D59=0,0,ROUND((2.71828183^((E4-(C54*D4))/(C4))),6)))</f>
        <v>0.99999499999999997</v>
      </c>
      <c r="D52" s="51"/>
      <c r="E52" s="51"/>
      <c r="F52" s="177"/>
      <c r="G52" s="139"/>
      <c r="H52" s="139"/>
      <c r="I52" s="139"/>
      <c r="J52" s="139"/>
      <c r="K52" s="139"/>
      <c r="L52" s="139"/>
      <c r="M52" s="139"/>
      <c r="N52" s="139"/>
    </row>
    <row r="53" spans="1:14" x14ac:dyDescent="0.3">
      <c r="A53" s="227"/>
      <c r="B53" s="195"/>
      <c r="C53" s="195"/>
      <c r="D53" s="51"/>
      <c r="E53" s="51"/>
      <c r="F53" s="177"/>
      <c r="G53" s="139"/>
      <c r="H53" s="139"/>
      <c r="I53" s="139"/>
      <c r="J53" s="139"/>
      <c r="K53" s="139"/>
      <c r="L53" s="139"/>
      <c r="M53" s="139"/>
      <c r="N53" s="139"/>
    </row>
    <row r="54" spans="1:14" x14ac:dyDescent="0.3">
      <c r="A54" s="228" t="s">
        <v>12</v>
      </c>
      <c r="B54" s="195"/>
      <c r="C54" s="195">
        <f>IF(MIN(EINGABEN!C6:'EINGABEN'!C45)&lt;1,"keine Lösung",IF(D59=0,0,ROUND((C4*G4-D4*E4)/(C4*H4-(D4)^2),6)))</f>
        <v>1.999989</v>
      </c>
      <c r="D54" s="51"/>
      <c r="E54" s="51"/>
      <c r="F54" s="177"/>
      <c r="G54" s="139"/>
      <c r="H54" s="139"/>
      <c r="I54" s="139"/>
      <c r="J54" s="139"/>
      <c r="K54" s="139"/>
      <c r="L54" s="139"/>
      <c r="M54" s="139"/>
      <c r="N54" s="139"/>
    </row>
    <row r="55" spans="1:14" x14ac:dyDescent="0.3">
      <c r="A55" s="227"/>
      <c r="B55" s="195"/>
      <c r="C55" s="195"/>
      <c r="D55" s="51"/>
      <c r="E55" s="51"/>
      <c r="F55" s="177"/>
      <c r="G55" s="139"/>
      <c r="H55" s="139"/>
      <c r="I55" s="139"/>
      <c r="J55" s="139"/>
      <c r="K55" s="139"/>
      <c r="L55" s="139"/>
      <c r="M55" s="139"/>
      <c r="N55" s="139"/>
    </row>
    <row r="56" spans="1:14" x14ac:dyDescent="0.3">
      <c r="A56" s="228" t="s">
        <v>13</v>
      </c>
      <c r="B56" s="195"/>
      <c r="C56" s="195">
        <f>IF(MIN(EINGABEN!C6:'EINGABEN'!C45)&lt;1,"keine Lösung",IF(D59=0,0,IF(D58/D59&gt;1,1,ROUND(ABS(D58/D59),6))))</f>
        <v>1</v>
      </c>
      <c r="D56" s="51"/>
      <c r="E56" s="51"/>
      <c r="F56" s="177"/>
      <c r="G56" s="139"/>
      <c r="H56" s="139"/>
      <c r="I56" s="139"/>
      <c r="J56" s="139"/>
      <c r="K56" s="139"/>
      <c r="L56" s="139"/>
      <c r="M56" s="139"/>
      <c r="N56" s="139"/>
    </row>
    <row r="57" spans="1:14" ht="15" thickBot="1" x14ac:dyDescent="0.35">
      <c r="A57" s="241"/>
      <c r="B57" s="51"/>
      <c r="C57" s="51"/>
      <c r="D57" s="51"/>
      <c r="E57" s="51"/>
      <c r="F57" s="177"/>
      <c r="G57" s="139"/>
      <c r="H57" s="139"/>
      <c r="I57" s="139"/>
      <c r="J57" s="139"/>
      <c r="K57" s="139"/>
      <c r="L57" s="139"/>
      <c r="M57" s="139"/>
      <c r="N57" s="139"/>
    </row>
    <row r="58" spans="1:14" ht="15" thickTop="1" x14ac:dyDescent="0.3">
      <c r="A58" s="243" t="s">
        <v>14</v>
      </c>
      <c r="B58" s="244"/>
      <c r="C58" s="210" t="s">
        <v>19</v>
      </c>
      <c r="D58" s="211">
        <f>(C4*G4-(D4*E4))</f>
        <v>106.4043245865937</v>
      </c>
      <c r="E58" s="200" t="s">
        <v>71</v>
      </c>
      <c r="F58" s="224"/>
      <c r="G58" s="139"/>
      <c r="H58" s="139"/>
      <c r="I58" s="139"/>
      <c r="J58" s="139"/>
      <c r="K58" s="139"/>
      <c r="L58" s="139"/>
      <c r="M58" s="139"/>
      <c r="N58" s="139"/>
    </row>
    <row r="59" spans="1:14" x14ac:dyDescent="0.3">
      <c r="A59" s="229"/>
      <c r="B59" s="50"/>
      <c r="C59" s="171" t="s">
        <v>20</v>
      </c>
      <c r="D59" s="173">
        <f>((C4*H4-(D4)^2)*(C4*I4-(E4)^2))^0.5</f>
        <v>106.40432472546412</v>
      </c>
      <c r="E59" s="202" t="s">
        <v>71</v>
      </c>
      <c r="F59" s="177"/>
      <c r="G59" s="139"/>
      <c r="H59" s="139"/>
      <c r="I59" s="139"/>
      <c r="J59" s="139"/>
      <c r="K59" s="139"/>
      <c r="L59" s="139"/>
      <c r="M59" s="139"/>
      <c r="N59" s="139"/>
    </row>
    <row r="60" spans="1:14" x14ac:dyDescent="0.3">
      <c r="A60" s="175"/>
      <c r="B60" s="61"/>
      <c r="C60" s="277" t="s">
        <v>110</v>
      </c>
      <c r="D60" s="277"/>
      <c r="E60" s="182">
        <f>IF(EINGABEN!D46&lt;10,"Anzahl zu klein",ROUND((E61*(1+E64/100)),2))</f>
        <v>100</v>
      </c>
      <c r="F60" s="177"/>
      <c r="G60" s="139"/>
      <c r="H60" s="139"/>
      <c r="I60" s="139"/>
      <c r="J60" s="139"/>
      <c r="K60" s="139"/>
      <c r="L60" s="139"/>
      <c r="M60" s="139"/>
      <c r="N60" s="139"/>
    </row>
    <row r="61" spans="1:14" x14ac:dyDescent="0.3">
      <c r="A61" s="30" t="s">
        <v>15</v>
      </c>
      <c r="B61" s="187">
        <v>10</v>
      </c>
      <c r="C61" s="230" t="s">
        <v>16</v>
      </c>
      <c r="D61" s="195" t="s">
        <v>72</v>
      </c>
      <c r="E61" s="180">
        <f>IF(MIN(EINGABEN!C6:'EINGABEN'!C45)&lt;1,"keine Lösung",IF(C56=0,0,ROUND((C52*B61^C54),2)))</f>
        <v>100</v>
      </c>
      <c r="F61" s="177"/>
      <c r="G61" s="139"/>
      <c r="H61" s="139"/>
      <c r="I61" s="139"/>
      <c r="J61" s="139"/>
      <c r="K61" s="139"/>
      <c r="L61" s="139"/>
      <c r="M61" s="139"/>
      <c r="N61" s="139"/>
    </row>
    <row r="62" spans="1:14" x14ac:dyDescent="0.3">
      <c r="A62" s="229" t="s">
        <v>63</v>
      </c>
      <c r="B62" s="50" t="s">
        <v>108</v>
      </c>
      <c r="C62" s="277" t="s">
        <v>111</v>
      </c>
      <c r="D62" s="277"/>
      <c r="E62" s="182">
        <f>IF(EINGABEN!D46&lt;10,"Anzahl zu klein",ROUND((E61*(1-E64/100)),2))</f>
        <v>100</v>
      </c>
      <c r="F62" s="177"/>
      <c r="G62" s="139"/>
      <c r="H62" s="139"/>
      <c r="I62" s="139"/>
      <c r="J62" s="139"/>
      <c r="K62" s="139"/>
      <c r="L62" s="139"/>
      <c r="M62" s="139"/>
      <c r="N62" s="139"/>
    </row>
    <row r="63" spans="1:14" x14ac:dyDescent="0.3">
      <c r="A63" s="30" t="s">
        <v>17</v>
      </c>
      <c r="B63" s="187">
        <v>100</v>
      </c>
      <c r="C63" s="230" t="s">
        <v>16</v>
      </c>
      <c r="D63" s="195" t="s">
        <v>70</v>
      </c>
      <c r="E63" s="180">
        <f>IF(MIN(EINGABEN!C6:'EINGABEN'!C45)&lt;1,"keine Lösung",IF(C56=0,0,ROUND((2.71828183^(LN(B63/C52)/C54)),2)))</f>
        <v>10</v>
      </c>
      <c r="F63" s="177"/>
      <c r="G63" s="139"/>
      <c r="H63" s="139"/>
      <c r="I63" s="139"/>
      <c r="J63" s="139"/>
      <c r="K63" s="139"/>
      <c r="L63" s="139"/>
      <c r="M63" s="139"/>
      <c r="N63" s="139"/>
    </row>
    <row r="64" spans="1:14" ht="15" thickBot="1" x14ac:dyDescent="0.35">
      <c r="A64" s="231" t="s">
        <v>131</v>
      </c>
      <c r="B64" s="184">
        <f>IF(MIN(EINGABEN!C6:'EINGABEN'!C45)&lt;1,"keine Lösung",IF(C56=0,0,ROUND((C52*1^C54),2)))</f>
        <v>1</v>
      </c>
      <c r="C64" s="273" t="s">
        <v>119</v>
      </c>
      <c r="D64" s="273"/>
      <c r="E64" s="185">
        <f>IF(EINGABEN!D46&lt;10,"Anzahl zu klein",ROUND((((2.868009*(LN(LN(EINGABEN!D46)))^-2.421118)*M46)/L48)*100,0))</f>
        <v>0</v>
      </c>
      <c r="F64" s="196"/>
      <c r="G64" s="139"/>
      <c r="H64" s="139"/>
      <c r="I64" s="139"/>
      <c r="J64" s="139"/>
      <c r="K64" s="139"/>
      <c r="L64" s="139"/>
      <c r="M64" s="139"/>
      <c r="N64" s="139"/>
    </row>
    <row r="65" spans="2:14" ht="15" thickTop="1" x14ac:dyDescent="0.3">
      <c r="B65" s="213"/>
      <c r="C65" s="213"/>
      <c r="D65" s="213"/>
      <c r="G65" s="139"/>
      <c r="H65" s="139"/>
      <c r="I65" s="139"/>
      <c r="J65" s="139"/>
      <c r="K65" s="139"/>
      <c r="L65" s="139"/>
      <c r="M65" s="139"/>
      <c r="N65" s="139"/>
    </row>
    <row r="67" spans="2:14" x14ac:dyDescent="0.3">
      <c r="G67" s="186"/>
    </row>
  </sheetData>
  <sheetProtection algorithmName="SHA-512" hashValue="aYtUBTjrElSjpyJ8ie7XokdcKSzhgvJTN6UWgEY0Ill7LouqRf9PLOMuYjWZQXEsccUl7KhuI94+0ajJ+e8ghw==" saltValue="9/nCKNw3IZfho/XZG7dxJQ==" spinCount="100000" sheet="1" objects="1" scenarios="1"/>
  <mergeCells count="3">
    <mergeCell ref="C60:D60"/>
    <mergeCell ref="C62:D62"/>
    <mergeCell ref="C64:D64"/>
  </mergeCells>
  <dataValidations count="3">
    <dataValidation showInputMessage="1" showErrorMessage="1" sqref="A6:A45 B6:B9" xr:uid="{00000000-0002-0000-0600-000000000000}"/>
    <dataValidation type="decimal" operator="greaterThanOrEqual" allowBlank="1" showInputMessage="1" showErrorMessage="1" sqref="B63" xr:uid="{465C3305-8281-4987-B87E-E64EE0E469D3}">
      <formula1>B64</formula1>
    </dataValidation>
    <dataValidation type="decimal" operator="greaterThanOrEqual" allowBlank="1" showInputMessage="1" showErrorMessage="1" sqref="B61" xr:uid="{B16D10F5-796E-4F46-8451-20250773420A}">
      <formula1>1</formula1>
    </dataValidation>
  </dataValidations>
  <pageMargins left="0.7" right="0.7" top="0.78740157499999996" bottom="0.78740157499999996" header="0.3" footer="0.3"/>
  <pageSetup paperSize="9" orientation="portrait" horizontalDpi="4294967293" verticalDpi="4294967293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X66"/>
  <sheetViews>
    <sheetView topLeftCell="A16" zoomScaleNormal="100" workbookViewId="0">
      <selection activeCell="J52" sqref="J52"/>
    </sheetView>
  </sheetViews>
  <sheetFormatPr baseColWidth="10" defaultRowHeight="14.4" x14ac:dyDescent="0.3"/>
  <cols>
    <col min="1" max="1" width="17" style="140" customWidth="1"/>
    <col min="2" max="2" width="14.77734375" style="140" customWidth="1"/>
    <col min="3" max="3" width="11.5546875" style="140"/>
    <col min="4" max="4" width="12.33203125" style="140" bestFit="1" customWidth="1"/>
    <col min="5" max="5" width="12" style="140" bestFit="1" customWidth="1"/>
    <col min="6" max="6" width="18.109375" style="140" customWidth="1"/>
    <col min="7" max="8" width="12.33203125" style="140" bestFit="1" customWidth="1"/>
    <col min="9" max="9" width="13.109375" style="140" customWidth="1"/>
    <col min="10" max="10" width="17.6640625" style="140" customWidth="1"/>
    <col min="11" max="11" width="21.21875" style="140" customWidth="1"/>
    <col min="12" max="12" width="28.6640625" style="140" customWidth="1"/>
    <col min="13" max="13" width="14.88671875" style="140" customWidth="1"/>
    <col min="14" max="14" width="11.6640625" style="140" bestFit="1" customWidth="1"/>
    <col min="15" max="16384" width="11.5546875" style="140"/>
  </cols>
  <sheetData>
    <row r="1" spans="1:24" ht="18" x14ac:dyDescent="0.35">
      <c r="A1" s="135" t="s">
        <v>59</v>
      </c>
      <c r="B1" s="136"/>
      <c r="C1" s="136"/>
      <c r="D1" s="136"/>
      <c r="E1" s="136"/>
      <c r="F1" s="136"/>
      <c r="G1" s="136"/>
      <c r="H1" s="216"/>
      <c r="I1" s="217"/>
      <c r="J1" s="217"/>
      <c r="K1" s="217"/>
      <c r="L1" s="217"/>
      <c r="M1" s="217"/>
      <c r="N1" s="217"/>
      <c r="O1" s="139"/>
      <c r="P1" s="139"/>
      <c r="Q1" s="139"/>
      <c r="R1" s="139"/>
      <c r="S1" s="139"/>
      <c r="T1" s="139"/>
      <c r="U1" s="139"/>
      <c r="V1" s="139"/>
      <c r="W1" s="139"/>
      <c r="X1" s="139"/>
    </row>
    <row r="2" spans="1:24" x14ac:dyDescent="0.3">
      <c r="A2" s="141"/>
      <c r="B2" s="141"/>
      <c r="C2" s="261"/>
      <c r="D2" s="261"/>
      <c r="E2" s="261"/>
      <c r="F2" s="261"/>
      <c r="G2" s="261"/>
      <c r="H2" s="141"/>
      <c r="I2" s="137"/>
      <c r="J2" s="217"/>
      <c r="K2" s="217"/>
      <c r="L2" s="217"/>
      <c r="M2" s="217"/>
      <c r="N2" s="217"/>
      <c r="O2" s="139"/>
      <c r="P2" s="139"/>
      <c r="Q2" s="139"/>
      <c r="R2" s="139"/>
      <c r="S2" s="139"/>
      <c r="T2" s="139"/>
      <c r="U2" s="139"/>
      <c r="V2" s="139"/>
      <c r="W2" s="139"/>
      <c r="X2" s="139"/>
    </row>
    <row r="3" spans="1:24" x14ac:dyDescent="0.3">
      <c r="A3" s="141"/>
      <c r="B3" s="141"/>
      <c r="C3" s="141" t="s">
        <v>0</v>
      </c>
      <c r="D3" s="142" t="s">
        <v>1</v>
      </c>
      <c r="E3" s="141" t="s">
        <v>2</v>
      </c>
      <c r="F3" s="141" t="s">
        <v>21</v>
      </c>
      <c r="G3" s="141" t="s">
        <v>3</v>
      </c>
      <c r="H3" s="141" t="s">
        <v>4</v>
      </c>
      <c r="I3" s="141" t="s">
        <v>140</v>
      </c>
      <c r="J3" s="217"/>
      <c r="K3" s="217"/>
      <c r="L3" s="217"/>
      <c r="M3" s="217"/>
      <c r="N3" s="217"/>
      <c r="O3" s="139"/>
      <c r="P3" s="139"/>
      <c r="Q3" s="139"/>
      <c r="R3" s="139"/>
      <c r="S3" s="139"/>
      <c r="T3" s="139"/>
      <c r="U3" s="139"/>
      <c r="V3" s="139"/>
      <c r="W3" s="139"/>
      <c r="X3" s="139"/>
    </row>
    <row r="4" spans="1:24" x14ac:dyDescent="0.3">
      <c r="A4" s="245" t="s">
        <v>141</v>
      </c>
      <c r="B4" s="261"/>
      <c r="C4" s="141">
        <f>EINGABEN!$D$46</f>
        <v>10</v>
      </c>
      <c r="D4" s="141">
        <f>IF(MIN(A6:A45)&lt;1,0,ROUND(SUM(D6:D45),3))</f>
        <v>4.8529999999999998</v>
      </c>
      <c r="E4" s="141">
        <f>IF(MIN(B6:B45)&lt;=0,0,ROUND(SUM(E6:E45),3))</f>
        <v>36.744</v>
      </c>
      <c r="F4" s="137" t="s">
        <v>22</v>
      </c>
      <c r="G4" s="141">
        <f>IF(MIN(B6:B45)&lt;=0,0,ROUND(SUM(G6:G45),3))</f>
        <v>25.759</v>
      </c>
      <c r="H4" s="141">
        <f>IF(MIN(A6:A45)&lt;1,0,ROUND(SUM(H6:H45),3))</f>
        <v>5.5330000000000004</v>
      </c>
      <c r="I4" s="141">
        <f>IF(MIN(B6:B45)&lt;=0,0,ROUND(SUM(I6:I45),3))</f>
        <v>156.29400000000001</v>
      </c>
      <c r="J4" s="217"/>
      <c r="K4" s="217"/>
      <c r="L4" s="217"/>
      <c r="M4" s="217"/>
      <c r="N4" s="217"/>
      <c r="O4" s="139"/>
      <c r="P4" s="139"/>
      <c r="Q4" s="139"/>
      <c r="R4" s="139"/>
      <c r="S4" s="139"/>
      <c r="T4" s="139"/>
      <c r="U4" s="139"/>
      <c r="V4" s="139"/>
      <c r="W4" s="139"/>
      <c r="X4" s="139"/>
    </row>
    <row r="5" spans="1:24" x14ac:dyDescent="0.3">
      <c r="A5" s="141" t="s">
        <v>8</v>
      </c>
      <c r="B5" s="141" t="s">
        <v>9</v>
      </c>
      <c r="C5" s="141" t="s">
        <v>38</v>
      </c>
      <c r="D5" s="141" t="s">
        <v>5</v>
      </c>
      <c r="E5" s="141" t="s">
        <v>6</v>
      </c>
      <c r="F5" s="141" t="s">
        <v>23</v>
      </c>
      <c r="G5" s="141" t="s">
        <v>10</v>
      </c>
      <c r="H5" s="141" t="s">
        <v>7</v>
      </c>
      <c r="I5" s="142" t="s">
        <v>18</v>
      </c>
      <c r="J5" s="217" t="s">
        <v>114</v>
      </c>
      <c r="K5" s="217" t="s">
        <v>112</v>
      </c>
      <c r="L5" s="217" t="s">
        <v>113</v>
      </c>
      <c r="M5" s="217" t="s">
        <v>115</v>
      </c>
      <c r="N5" s="217"/>
      <c r="O5" s="139"/>
      <c r="P5" s="139"/>
      <c r="Q5" s="139"/>
      <c r="R5" s="139"/>
      <c r="S5" s="139"/>
      <c r="T5" s="139"/>
      <c r="U5" s="139"/>
      <c r="V5" s="139"/>
      <c r="W5" s="139"/>
      <c r="X5" s="139"/>
    </row>
    <row r="6" spans="1:24" x14ac:dyDescent="0.3">
      <c r="A6" s="141">
        <f>EINGABEN!A6</f>
        <v>8</v>
      </c>
      <c r="B6" s="141">
        <f>EINGABEN!E6</f>
        <v>64</v>
      </c>
      <c r="C6" s="141"/>
      <c r="D6" s="141">
        <f>(LN((ABS(LN(A6+0.00000001)))))</f>
        <v>0.73209936868756831</v>
      </c>
      <c r="E6" s="141">
        <f>((LN(B6+0.000000001)))</f>
        <v>4.1588830833752972</v>
      </c>
      <c r="F6" s="137">
        <f>(LN(C52*(2.7182813^(D6))^C54))</f>
        <v>4.2900419099382106</v>
      </c>
      <c r="G6" s="141">
        <f t="shared" ref="G6:G45" si="0">(D6*E6)</f>
        <v>3.0447156797844626</v>
      </c>
      <c r="H6" s="141">
        <f t="shared" ref="H6:I45" si="1">(D6)^2</f>
        <v>0.53596948563273605</v>
      </c>
      <c r="I6" s="141">
        <f t="shared" si="1"/>
        <v>17.296308501185219</v>
      </c>
      <c r="J6" s="217">
        <f>IF(EINGABEN!C6="","",EINGABEN!C6)</f>
        <v>8</v>
      </c>
      <c r="K6" s="217">
        <f>IF(J6="","",B6)</f>
        <v>64</v>
      </c>
      <c r="L6" s="217">
        <f>IF(J6="","",($C$52*LN(J6)^$C$54))</f>
        <v>72.969552381231196</v>
      </c>
      <c r="M6" s="217">
        <f>IF(K6="","",(K6-L6)^2)</f>
        <v>80.452869919650226</v>
      </c>
      <c r="N6" s="217"/>
      <c r="O6" s="139"/>
      <c r="P6" s="139"/>
      <c r="Q6" s="139"/>
      <c r="R6" s="139"/>
      <c r="S6" s="139"/>
      <c r="T6" s="139"/>
      <c r="U6" s="139"/>
      <c r="V6" s="139"/>
      <c r="W6" s="139"/>
      <c r="X6" s="139"/>
    </row>
    <row r="7" spans="1:24" x14ac:dyDescent="0.3">
      <c r="A7" s="141">
        <f>EINGABEN!A7</f>
        <v>7</v>
      </c>
      <c r="B7" s="141">
        <f>EINGABEN!E7</f>
        <v>49</v>
      </c>
      <c r="C7" s="141"/>
      <c r="D7" s="141">
        <f t="shared" ref="D7:D45" si="2">(LN((ABS(LN(A7+0.00000001)))))</f>
        <v>0.66572981131241693</v>
      </c>
      <c r="E7" s="141">
        <f t="shared" ref="E7:E45" si="3">((LN(B7+0.000000001)))</f>
        <v>3.8918202981310346</v>
      </c>
      <c r="F7" s="137">
        <f>(LN(C52*(2.7182813^(D7))^C54))</f>
        <v>4.1244827494043443</v>
      </c>
      <c r="G7" s="141">
        <f t="shared" si="0"/>
        <v>2.5909007927366079</v>
      </c>
      <c r="H7" s="141">
        <f t="shared" si="1"/>
        <v>0.44319618167006625</v>
      </c>
      <c r="I7" s="141">
        <f t="shared" si="1"/>
        <v>15.146265232944735</v>
      </c>
      <c r="J7" s="217">
        <f>IF(EINGABEN!C7="","",EINGABEN!C7)</f>
        <v>7</v>
      </c>
      <c r="K7" s="217">
        <f t="shared" ref="K7:K45" si="4">IF(J7="","",B7)</f>
        <v>49</v>
      </c>
      <c r="L7" s="217">
        <f t="shared" ref="L7:L45" si="5">IF(J7="","",($C$52*LN(J7)^$C$54))</f>
        <v>61.835836214450325</v>
      </c>
      <c r="M7" s="217">
        <f t="shared" ref="M7:M45" si="6">IF(K7="","",(K7-L7)^2)</f>
        <v>164.75869132419444</v>
      </c>
      <c r="N7" s="217"/>
      <c r="O7" s="139"/>
      <c r="P7" s="139"/>
      <c r="Q7" s="139"/>
      <c r="R7" s="139"/>
      <c r="S7" s="139"/>
      <c r="T7" s="139"/>
      <c r="U7" s="139"/>
      <c r="V7" s="139"/>
      <c r="W7" s="139"/>
      <c r="X7" s="139"/>
    </row>
    <row r="8" spans="1:24" x14ac:dyDescent="0.3">
      <c r="A8" s="141">
        <f>EINGABEN!A8</f>
        <v>4</v>
      </c>
      <c r="B8" s="218">
        <f>EINGABEN!E8</f>
        <v>16</v>
      </c>
      <c r="C8" s="141"/>
      <c r="D8" s="141">
        <f t="shared" si="2"/>
        <v>0.32663426178164973</v>
      </c>
      <c r="E8" s="141">
        <f t="shared" si="3"/>
        <v>2.7725887223022814</v>
      </c>
      <c r="F8" s="137">
        <f>(LN(C52*(2.7182813^(D8))^C54))</f>
        <v>3.2786073700681171</v>
      </c>
      <c r="G8" s="141">
        <f t="shared" si="0"/>
        <v>0.90562247053333311</v>
      </c>
      <c r="H8" s="141">
        <f t="shared" si="1"/>
        <v>0.10668994096964328</v>
      </c>
      <c r="I8" s="141">
        <f t="shared" si="1"/>
        <v>7.6872482230377974</v>
      </c>
      <c r="J8" s="217">
        <f>IF(EINGABEN!C8="","",EINGABEN!C8)</f>
        <v>4</v>
      </c>
      <c r="K8" s="217">
        <f t="shared" si="4"/>
        <v>16</v>
      </c>
      <c r="L8" s="217">
        <f t="shared" si="5"/>
        <v>26.538792326593111</v>
      </c>
      <c r="M8" s="217">
        <f t="shared" si="6"/>
        <v>111.06614370305783</v>
      </c>
      <c r="N8" s="217"/>
      <c r="O8" s="139"/>
      <c r="P8" s="139"/>
      <c r="Q8" s="139"/>
      <c r="R8" s="139"/>
      <c r="S8" s="139"/>
      <c r="T8" s="139"/>
      <c r="U8" s="139"/>
      <c r="V8" s="139"/>
      <c r="W8" s="139"/>
      <c r="X8" s="139"/>
    </row>
    <row r="9" spans="1:24" x14ac:dyDescent="0.3">
      <c r="A9" s="141">
        <f>EINGABEN!A9</f>
        <v>2.5</v>
      </c>
      <c r="B9" s="141">
        <f>EINGABEN!E9</f>
        <v>6.25</v>
      </c>
      <c r="C9" s="141"/>
      <c r="D9" s="141">
        <f t="shared" si="2"/>
        <v>-8.7421567425328514E-2</v>
      </c>
      <c r="E9" s="141">
        <f t="shared" si="3"/>
        <v>1.8325814639083102</v>
      </c>
      <c r="F9" s="137">
        <f>(LN(C52*(2.7182813^(D9))^C54))</f>
        <v>2.245743234630531</v>
      </c>
      <c r="G9" s="141">
        <f t="shared" si="0"/>
        <v>-0.16020714400946759</v>
      </c>
      <c r="H9" s="141">
        <f t="shared" si="1"/>
        <v>7.6425304511012595E-3</v>
      </c>
      <c r="I9" s="141">
        <f t="shared" si="1"/>
        <v>3.3583548218603254</v>
      </c>
      <c r="J9" s="217">
        <f>IF(EINGABEN!C9="","",EINGABEN!C9)</f>
        <v>2.5</v>
      </c>
      <c r="K9" s="217">
        <f t="shared" si="4"/>
        <v>6.25</v>
      </c>
      <c r="L9" s="217">
        <f t="shared" si="5"/>
        <v>9.4474341048992425</v>
      </c>
      <c r="M9" s="217">
        <f t="shared" si="6"/>
        <v>10.22358485517282</v>
      </c>
      <c r="N9" s="217"/>
      <c r="O9" s="139"/>
      <c r="P9" s="139"/>
      <c r="Q9" s="139"/>
      <c r="R9" s="139"/>
      <c r="S9" s="139"/>
      <c r="T9" s="139"/>
      <c r="U9" s="139"/>
      <c r="V9" s="139"/>
      <c r="W9" s="139"/>
      <c r="X9" s="139"/>
    </row>
    <row r="10" spans="1:24" x14ac:dyDescent="0.3">
      <c r="A10" s="141">
        <f>EINGABEN!A10</f>
        <v>4.5</v>
      </c>
      <c r="B10" s="262">
        <f>EINGABEN!E10</f>
        <v>20.25</v>
      </c>
      <c r="C10" s="141"/>
      <c r="D10" s="141">
        <f t="shared" si="2"/>
        <v>0.4081796863035837</v>
      </c>
      <c r="E10" s="141">
        <f t="shared" si="3"/>
        <v>3.0081547936019311</v>
      </c>
      <c r="F10" s="137">
        <f>(LN(C52*(2.7182813^(D10))^C54))</f>
        <v>3.482022799719358</v>
      </c>
      <c r="G10" s="141">
        <f t="shared" si="0"/>
        <v>1.2278676800050579</v>
      </c>
      <c r="H10" s="141">
        <f t="shared" si="1"/>
        <v>0.166610656310892</v>
      </c>
      <c r="I10" s="141">
        <f t="shared" si="1"/>
        <v>9.0489952622702763</v>
      </c>
      <c r="J10" s="217">
        <f>IF(EINGABEN!C10="","",EINGABEN!C10)</f>
        <v>4.5</v>
      </c>
      <c r="K10" s="217">
        <f t="shared" si="4"/>
        <v>20.25</v>
      </c>
      <c r="L10" s="217">
        <f t="shared" si="5"/>
        <v>32.525454363891541</v>
      </c>
      <c r="M10" s="217">
        <f t="shared" si="6"/>
        <v>150.68677983998387</v>
      </c>
      <c r="N10" s="217"/>
      <c r="O10" s="139"/>
      <c r="P10" s="139"/>
      <c r="Q10" s="139"/>
      <c r="R10" s="139"/>
      <c r="S10" s="139"/>
      <c r="T10" s="139"/>
      <c r="U10" s="139"/>
      <c r="V10" s="139"/>
      <c r="W10" s="139"/>
      <c r="X10" s="139"/>
    </row>
    <row r="11" spans="1:24" x14ac:dyDescent="0.3">
      <c r="A11" s="141">
        <f>EINGABEN!A11</f>
        <v>10</v>
      </c>
      <c r="B11" s="262">
        <f>EINGABEN!E11</f>
        <v>100</v>
      </c>
      <c r="C11" s="141"/>
      <c r="D11" s="141">
        <f t="shared" si="2"/>
        <v>0.83403244568225043</v>
      </c>
      <c r="E11" s="141">
        <f t="shared" si="3"/>
        <v>4.6051701859980918</v>
      </c>
      <c r="F11" s="137">
        <f>(LN(C52*(2.7182813^(D11))^C54))</f>
        <v>4.5443144307338939</v>
      </c>
      <c r="G11" s="141">
        <f t="shared" si="0"/>
        <v>3.8408613530109728</v>
      </c>
      <c r="H11" s="141">
        <f t="shared" si="1"/>
        <v>0.69561012045071602</v>
      </c>
      <c r="I11" s="141">
        <f t="shared" si="1"/>
        <v>21.207592442005698</v>
      </c>
      <c r="J11" s="217">
        <f>IF(EINGABEN!C11="","",EINGABEN!C11)</f>
        <v>10</v>
      </c>
      <c r="K11" s="137">
        <f t="shared" si="4"/>
        <v>100</v>
      </c>
      <c r="L11" s="217">
        <f t="shared" si="5"/>
        <v>94.095933794171131</v>
      </c>
      <c r="M11" s="217">
        <f t="shared" si="6"/>
        <v>34.857997762810498</v>
      </c>
      <c r="N11" s="217"/>
      <c r="O11" s="139"/>
      <c r="P11" s="139"/>
      <c r="Q11" s="139"/>
      <c r="R11" s="139"/>
      <c r="S11" s="139"/>
      <c r="T11" s="139"/>
      <c r="U11" s="139"/>
      <c r="V11" s="139"/>
      <c r="W11" s="139"/>
      <c r="X11" s="139"/>
    </row>
    <row r="12" spans="1:24" x14ac:dyDescent="0.3">
      <c r="A12" s="141">
        <f>EINGABEN!A12</f>
        <v>12</v>
      </c>
      <c r="B12" s="262">
        <f>EINGABEN!E12</f>
        <v>144</v>
      </c>
      <c r="C12" s="141"/>
      <c r="D12" s="141">
        <f t="shared" si="2"/>
        <v>0.91023509370068401</v>
      </c>
      <c r="E12" s="141">
        <f t="shared" si="3"/>
        <v>4.9698132995829454</v>
      </c>
      <c r="F12" s="137">
        <f>(LN(C52*(2.7182813^(D12))^C54))</f>
        <v>4.7344022802742751</v>
      </c>
      <c r="G12" s="141">
        <f t="shared" si="0"/>
        <v>4.5236984744207875</v>
      </c>
      <c r="H12" s="141">
        <f t="shared" si="1"/>
        <v>0.82852792580429302</v>
      </c>
      <c r="I12" s="141">
        <f t="shared" si="1"/>
        <v>24.699044232711522</v>
      </c>
      <c r="J12" s="217">
        <f>IF(EINGABEN!C12="","",EINGABEN!C12)</f>
        <v>12</v>
      </c>
      <c r="K12" s="217">
        <f t="shared" si="4"/>
        <v>144</v>
      </c>
      <c r="L12" s="217">
        <f t="shared" si="5"/>
        <v>113.79547075549637</v>
      </c>
      <c r="M12" s="217">
        <f t="shared" si="6"/>
        <v>912.31358688207513</v>
      </c>
      <c r="N12" s="217"/>
      <c r="O12" s="139"/>
      <c r="P12" s="139"/>
      <c r="Q12" s="139"/>
      <c r="R12" s="139"/>
      <c r="S12" s="139"/>
      <c r="T12" s="139"/>
      <c r="U12" s="139"/>
      <c r="V12" s="139"/>
      <c r="W12" s="139"/>
      <c r="X12" s="139"/>
    </row>
    <row r="13" spans="1:24" x14ac:dyDescent="0.3">
      <c r="A13" s="141">
        <f>EINGABEN!A13</f>
        <v>15</v>
      </c>
      <c r="B13" s="262">
        <f>EINGABEN!E13</f>
        <v>225</v>
      </c>
      <c r="C13" s="141"/>
      <c r="D13" s="141">
        <f t="shared" si="2"/>
        <v>0.99622889319757446</v>
      </c>
      <c r="E13" s="141">
        <f t="shared" si="3"/>
        <v>5.4161004022088646</v>
      </c>
      <c r="F13" s="137">
        <f>(LN(C52*(2.7182813^(D13))^C54))</f>
        <v>4.9489142013851586</v>
      </c>
      <c r="G13" s="141">
        <f t="shared" si="0"/>
        <v>5.3956757091394749</v>
      </c>
      <c r="H13" s="141">
        <f t="shared" si="1"/>
        <v>0.99247200764166421</v>
      </c>
      <c r="I13" s="141">
        <f t="shared" si="1"/>
        <v>29.334143566807025</v>
      </c>
      <c r="J13" s="217">
        <f>IF(EINGABEN!C13="","",EINGABEN!C13)</f>
        <v>15</v>
      </c>
      <c r="K13" s="217">
        <f t="shared" si="4"/>
        <v>225</v>
      </c>
      <c r="L13" s="217">
        <f t="shared" si="5"/>
        <v>141.02182757550375</v>
      </c>
      <c r="M13" s="217">
        <f t="shared" si="6"/>
        <v>7052.3334437584226</v>
      </c>
      <c r="N13" s="217"/>
      <c r="O13" s="139"/>
      <c r="P13" s="139"/>
      <c r="Q13" s="139"/>
      <c r="R13" s="139"/>
      <c r="S13" s="139"/>
      <c r="T13" s="139"/>
      <c r="U13" s="139"/>
      <c r="V13" s="139"/>
      <c r="W13" s="139"/>
      <c r="X13" s="139"/>
    </row>
    <row r="14" spans="1:24" x14ac:dyDescent="0.3">
      <c r="A14" s="141">
        <f>EINGABEN!A14</f>
        <v>1.5</v>
      </c>
      <c r="B14" s="262">
        <f>EINGABEN!E14</f>
        <v>2.25</v>
      </c>
      <c r="C14" s="141"/>
      <c r="D14" s="141">
        <f t="shared" si="2"/>
        <v>-0.90272043927585721</v>
      </c>
      <c r="E14" s="141">
        <f t="shared" si="3"/>
        <v>0.81093021666077325</v>
      </c>
      <c r="F14" s="137">
        <f>(LN(C52*(2.7182813^(D14))^C54))</f>
        <v>0.21197651768814066</v>
      </c>
      <c r="G14" s="141">
        <f t="shared" si="0"/>
        <v>-0.73204328140607933</v>
      </c>
      <c r="H14" s="141">
        <f t="shared" si="1"/>
        <v>0.81490419148639659</v>
      </c>
      <c r="I14" s="141">
        <f t="shared" si="1"/>
        <v>0.65760781629348863</v>
      </c>
      <c r="J14" s="217">
        <f>IF(EINGABEN!C14="","",EINGABEN!C14)</f>
        <v>1.5</v>
      </c>
      <c r="K14" s="233">
        <f t="shared" si="4"/>
        <v>2.25</v>
      </c>
      <c r="L14" s="217">
        <f t="shared" si="5"/>
        <v>1.2361182659638539</v>
      </c>
      <c r="M14" s="217">
        <f t="shared" si="6"/>
        <v>1.0279561706121425</v>
      </c>
      <c r="N14" s="217"/>
      <c r="O14" s="139"/>
      <c r="P14" s="139"/>
      <c r="Q14" s="139"/>
      <c r="R14" s="139"/>
      <c r="S14" s="139"/>
      <c r="T14" s="139"/>
      <c r="U14" s="139"/>
      <c r="V14" s="139"/>
      <c r="W14" s="139"/>
      <c r="X14" s="139"/>
    </row>
    <row r="15" spans="1:24" ht="15" thickBot="1" x14ac:dyDescent="0.35">
      <c r="A15" s="145">
        <f>EINGABEN!A15</f>
        <v>14</v>
      </c>
      <c r="B15" s="189">
        <f>EINGABEN!E15</f>
        <v>196</v>
      </c>
      <c r="C15" s="145"/>
      <c r="D15" s="145">
        <f t="shared" si="2"/>
        <v>0.97042178154802439</v>
      </c>
      <c r="E15" s="145">
        <f t="shared" si="3"/>
        <v>5.2781146592356194</v>
      </c>
      <c r="F15" s="235">
        <f>(LN(C52*(2.7182813^(D15))^C54))</f>
        <v>4.8845382448550811</v>
      </c>
      <c r="G15" s="141">
        <f t="shared" si="0"/>
        <v>5.1219974308301737</v>
      </c>
      <c r="H15" s="141">
        <f t="shared" si="1"/>
        <v>0.94171843410284162</v>
      </c>
      <c r="I15" s="141">
        <f t="shared" si="1"/>
        <v>27.858494356037937</v>
      </c>
      <c r="J15" s="217">
        <f>IF(EINGABEN!C15="","",EINGABEN!C15)</f>
        <v>14</v>
      </c>
      <c r="K15" s="217">
        <f t="shared" si="4"/>
        <v>196</v>
      </c>
      <c r="L15" s="217">
        <f t="shared" si="5"/>
        <v>132.22945577178209</v>
      </c>
      <c r="M15" s="217">
        <f t="shared" si="6"/>
        <v>4066.6823111630974</v>
      </c>
      <c r="N15" s="217"/>
      <c r="O15" s="139"/>
      <c r="P15" s="139"/>
      <c r="Q15" s="139"/>
      <c r="R15" s="139"/>
      <c r="S15" s="139"/>
      <c r="T15" s="139"/>
      <c r="U15" s="139"/>
      <c r="V15" s="139"/>
      <c r="W15" s="139"/>
      <c r="X15" s="139"/>
    </row>
    <row r="16" spans="1:24" ht="15" thickTop="1" x14ac:dyDescent="0.3">
      <c r="A16" s="147">
        <f>EINGABEN!A16</f>
        <v>2.7182818284590451</v>
      </c>
      <c r="B16" s="191">
        <f>EINGABEN!E16</f>
        <v>1</v>
      </c>
      <c r="C16" s="148"/>
      <c r="D16" s="148">
        <f t="shared" si="2"/>
        <v>3.6787943734684532E-9</v>
      </c>
      <c r="E16" s="148">
        <f t="shared" si="3"/>
        <v>1.0000000822403709E-9</v>
      </c>
      <c r="F16" s="246">
        <f>(LN(C52*(2.7182813^(D16))^C54))</f>
        <v>2.4638167384621097</v>
      </c>
      <c r="G16" s="141">
        <f t="shared" si="0"/>
        <v>3.6787946760138673E-18</v>
      </c>
      <c r="H16" s="141">
        <f t="shared" si="1"/>
        <v>1.3533528042263149E-17</v>
      </c>
      <c r="I16" s="141">
        <f t="shared" si="1"/>
        <v>1.0000001644807486E-18</v>
      </c>
      <c r="J16" s="217" t="str">
        <f>IF(EINGABEN!C16="","",EINGABEN!C16)</f>
        <v/>
      </c>
      <c r="K16" s="217" t="str">
        <f t="shared" si="4"/>
        <v/>
      </c>
      <c r="L16" s="217" t="str">
        <f t="shared" si="5"/>
        <v/>
      </c>
      <c r="M16" s="217" t="str">
        <f t="shared" si="6"/>
        <v/>
      </c>
      <c r="N16" s="217"/>
      <c r="O16" s="139"/>
      <c r="P16" s="139"/>
      <c r="Q16" s="139"/>
      <c r="R16" s="139"/>
      <c r="S16" s="139"/>
    </row>
    <row r="17" spans="1:19" x14ac:dyDescent="0.3">
      <c r="A17" s="150">
        <f>EINGABEN!A17</f>
        <v>2.7182818284590451</v>
      </c>
      <c r="B17" s="170">
        <f>EINGABEN!E17</f>
        <v>1</v>
      </c>
      <c r="C17" s="106"/>
      <c r="D17" s="106">
        <f t="shared" si="2"/>
        <v>3.6787943734684532E-9</v>
      </c>
      <c r="E17" s="106">
        <f t="shared" si="3"/>
        <v>1.0000000822403709E-9</v>
      </c>
      <c r="F17" s="247">
        <f>(LN(C52*(2.7182813^(D17))^C54))</f>
        <v>2.4638167384621097</v>
      </c>
      <c r="G17" s="141">
        <f t="shared" si="0"/>
        <v>3.6787946760138673E-18</v>
      </c>
      <c r="H17" s="141">
        <f t="shared" si="1"/>
        <v>1.3533528042263149E-17</v>
      </c>
      <c r="I17" s="141">
        <f t="shared" si="1"/>
        <v>1.0000001644807486E-18</v>
      </c>
      <c r="J17" s="217" t="str">
        <f>IF(EINGABEN!C17="","",EINGABEN!C17)</f>
        <v/>
      </c>
      <c r="K17" s="217" t="str">
        <f t="shared" si="4"/>
        <v/>
      </c>
      <c r="L17" s="217" t="str">
        <f t="shared" si="5"/>
        <v/>
      </c>
      <c r="M17" s="217" t="str">
        <f t="shared" si="6"/>
        <v/>
      </c>
      <c r="N17" s="217"/>
      <c r="O17" s="139"/>
      <c r="P17" s="139"/>
      <c r="Q17" s="139"/>
      <c r="R17" s="139"/>
      <c r="S17" s="139"/>
    </row>
    <row r="18" spans="1:19" x14ac:dyDescent="0.3">
      <c r="A18" s="150">
        <f>EINGABEN!A18</f>
        <v>2.7182818284590451</v>
      </c>
      <c r="B18" s="170">
        <f>EINGABEN!E18</f>
        <v>1</v>
      </c>
      <c r="C18" s="106"/>
      <c r="D18" s="106">
        <f t="shared" si="2"/>
        <v>3.6787943734684532E-9</v>
      </c>
      <c r="E18" s="106">
        <f t="shared" si="3"/>
        <v>1.0000000822403709E-9</v>
      </c>
      <c r="F18" s="247">
        <f>(LN(C52*(2.7182813^(D18))^C54))</f>
        <v>2.4638167384621097</v>
      </c>
      <c r="G18" s="141">
        <f t="shared" si="0"/>
        <v>3.6787946760138673E-18</v>
      </c>
      <c r="H18" s="141">
        <f t="shared" si="1"/>
        <v>1.3533528042263149E-17</v>
      </c>
      <c r="I18" s="141">
        <f t="shared" si="1"/>
        <v>1.0000001644807486E-18</v>
      </c>
      <c r="J18" s="217" t="str">
        <f>IF(EINGABEN!C18="","",EINGABEN!C18)</f>
        <v/>
      </c>
      <c r="K18" s="217" t="str">
        <f t="shared" si="4"/>
        <v/>
      </c>
      <c r="L18" s="217" t="str">
        <f t="shared" si="5"/>
        <v/>
      </c>
      <c r="M18" s="217" t="str">
        <f t="shared" si="6"/>
        <v/>
      </c>
      <c r="N18" s="217"/>
      <c r="O18" s="139"/>
      <c r="P18" s="139"/>
      <c r="Q18" s="139"/>
      <c r="R18" s="139"/>
      <c r="S18" s="139"/>
    </row>
    <row r="19" spans="1:19" x14ac:dyDescent="0.3">
      <c r="A19" s="150">
        <f>EINGABEN!A19</f>
        <v>2.7182818284590451</v>
      </c>
      <c r="B19" s="170">
        <f>EINGABEN!E19</f>
        <v>1</v>
      </c>
      <c r="C19" s="106"/>
      <c r="D19" s="106">
        <f t="shared" si="2"/>
        <v>3.6787943734684532E-9</v>
      </c>
      <c r="E19" s="106">
        <f t="shared" si="3"/>
        <v>1.0000000822403709E-9</v>
      </c>
      <c r="F19" s="247">
        <f>(LN(C52*(2.7182813^(D19))^C54))</f>
        <v>2.4638167384621097</v>
      </c>
      <c r="G19" s="141">
        <f t="shared" si="0"/>
        <v>3.6787946760138673E-18</v>
      </c>
      <c r="H19" s="141">
        <f t="shared" si="1"/>
        <v>1.3533528042263149E-17</v>
      </c>
      <c r="I19" s="141">
        <f t="shared" si="1"/>
        <v>1.0000001644807486E-18</v>
      </c>
      <c r="J19" s="217" t="str">
        <f>IF(EINGABEN!C19="","",EINGABEN!C19)</f>
        <v/>
      </c>
      <c r="K19" s="217" t="str">
        <f t="shared" si="4"/>
        <v/>
      </c>
      <c r="L19" s="217" t="str">
        <f t="shared" si="5"/>
        <v/>
      </c>
      <c r="M19" s="217" t="str">
        <f t="shared" si="6"/>
        <v/>
      </c>
      <c r="N19" s="217"/>
      <c r="O19" s="139"/>
      <c r="P19" s="139"/>
      <c r="Q19" s="139"/>
      <c r="R19" s="139"/>
      <c r="S19" s="139"/>
    </row>
    <row r="20" spans="1:19" x14ac:dyDescent="0.3">
      <c r="A20" s="150">
        <f>EINGABEN!A20</f>
        <v>2.7182818284590451</v>
      </c>
      <c r="B20" s="170">
        <f>EINGABEN!E20</f>
        <v>1</v>
      </c>
      <c r="C20" s="106"/>
      <c r="D20" s="106">
        <f t="shared" si="2"/>
        <v>3.6787943734684532E-9</v>
      </c>
      <c r="E20" s="106">
        <f t="shared" si="3"/>
        <v>1.0000000822403709E-9</v>
      </c>
      <c r="F20" s="247">
        <f>(LN(C52*(2.7182813^(D20))^C54))</f>
        <v>2.4638167384621097</v>
      </c>
      <c r="G20" s="141">
        <f t="shared" si="0"/>
        <v>3.6787946760138673E-18</v>
      </c>
      <c r="H20" s="141">
        <f t="shared" si="1"/>
        <v>1.3533528042263149E-17</v>
      </c>
      <c r="I20" s="141">
        <f t="shared" si="1"/>
        <v>1.0000001644807486E-18</v>
      </c>
      <c r="J20" s="217" t="str">
        <f>IF(EINGABEN!C20="","",EINGABEN!C20)</f>
        <v/>
      </c>
      <c r="K20" s="217" t="str">
        <f t="shared" si="4"/>
        <v/>
      </c>
      <c r="L20" s="217" t="str">
        <f t="shared" si="5"/>
        <v/>
      </c>
      <c r="M20" s="217" t="str">
        <f t="shared" si="6"/>
        <v/>
      </c>
      <c r="N20" s="217"/>
      <c r="O20" s="139"/>
      <c r="P20" s="139"/>
      <c r="Q20" s="139"/>
      <c r="R20" s="139"/>
      <c r="S20" s="139"/>
    </row>
    <row r="21" spans="1:19" x14ac:dyDescent="0.3">
      <c r="A21" s="150">
        <f>EINGABEN!A21</f>
        <v>2.7182818284590451</v>
      </c>
      <c r="B21" s="170">
        <f>EINGABEN!E21</f>
        <v>1</v>
      </c>
      <c r="C21" s="106"/>
      <c r="D21" s="106">
        <f t="shared" si="2"/>
        <v>3.6787943734684532E-9</v>
      </c>
      <c r="E21" s="106">
        <f t="shared" si="3"/>
        <v>1.0000000822403709E-9</v>
      </c>
      <c r="F21" s="247">
        <f>(LN(C52*(2.7182813^(D21))^C54))</f>
        <v>2.4638167384621097</v>
      </c>
      <c r="G21" s="141">
        <f t="shared" si="0"/>
        <v>3.6787946760138673E-18</v>
      </c>
      <c r="H21" s="141">
        <f t="shared" si="1"/>
        <v>1.3533528042263149E-17</v>
      </c>
      <c r="I21" s="141">
        <f t="shared" si="1"/>
        <v>1.0000001644807486E-18</v>
      </c>
      <c r="J21" s="217" t="str">
        <f>IF(EINGABEN!C21="","",EINGABEN!C21)</f>
        <v/>
      </c>
      <c r="K21" s="217" t="str">
        <f t="shared" si="4"/>
        <v/>
      </c>
      <c r="L21" s="217" t="str">
        <f t="shared" si="5"/>
        <v/>
      </c>
      <c r="M21" s="217" t="str">
        <f t="shared" si="6"/>
        <v/>
      </c>
      <c r="N21" s="217"/>
      <c r="O21" s="139"/>
      <c r="P21" s="139"/>
      <c r="Q21" s="139"/>
      <c r="R21" s="139"/>
      <c r="S21" s="139"/>
    </row>
    <row r="22" spans="1:19" x14ac:dyDescent="0.3">
      <c r="A22" s="150">
        <f>EINGABEN!A22</f>
        <v>2.7182818284590451</v>
      </c>
      <c r="B22" s="170">
        <f>EINGABEN!E22</f>
        <v>1</v>
      </c>
      <c r="C22" s="106"/>
      <c r="D22" s="106">
        <f t="shared" si="2"/>
        <v>3.6787943734684532E-9</v>
      </c>
      <c r="E22" s="106">
        <f t="shared" si="3"/>
        <v>1.0000000822403709E-9</v>
      </c>
      <c r="F22" s="247">
        <f>(LN(C52*(2.7182813^(D22))^C54))</f>
        <v>2.4638167384621097</v>
      </c>
      <c r="G22" s="141">
        <f t="shared" si="0"/>
        <v>3.6787946760138673E-18</v>
      </c>
      <c r="H22" s="141">
        <f t="shared" si="1"/>
        <v>1.3533528042263149E-17</v>
      </c>
      <c r="I22" s="141">
        <f t="shared" si="1"/>
        <v>1.0000001644807486E-18</v>
      </c>
      <c r="J22" s="217" t="str">
        <f>IF(EINGABEN!C22="","",EINGABEN!C22)</f>
        <v/>
      </c>
      <c r="K22" s="217" t="str">
        <f t="shared" si="4"/>
        <v/>
      </c>
      <c r="L22" s="217" t="str">
        <f t="shared" si="5"/>
        <v/>
      </c>
      <c r="M22" s="217" t="str">
        <f t="shared" si="6"/>
        <v/>
      </c>
      <c r="N22" s="217"/>
      <c r="O22" s="139"/>
      <c r="P22" s="139"/>
      <c r="Q22" s="139"/>
      <c r="R22" s="139"/>
      <c r="S22" s="139"/>
    </row>
    <row r="23" spans="1:19" x14ac:dyDescent="0.3">
      <c r="A23" s="150">
        <f>EINGABEN!A23</f>
        <v>2.7182818284590451</v>
      </c>
      <c r="B23" s="170">
        <f>EINGABEN!E23</f>
        <v>1</v>
      </c>
      <c r="C23" s="106"/>
      <c r="D23" s="106">
        <f t="shared" si="2"/>
        <v>3.6787943734684532E-9</v>
      </c>
      <c r="E23" s="106">
        <f t="shared" si="3"/>
        <v>1.0000000822403709E-9</v>
      </c>
      <c r="F23" s="247">
        <f>(LN(C52*(2.7182813^(D23))^C54))</f>
        <v>2.4638167384621097</v>
      </c>
      <c r="G23" s="141">
        <f t="shared" si="0"/>
        <v>3.6787946760138673E-18</v>
      </c>
      <c r="H23" s="141">
        <f t="shared" si="1"/>
        <v>1.3533528042263149E-17</v>
      </c>
      <c r="I23" s="141">
        <f t="shared" si="1"/>
        <v>1.0000001644807486E-18</v>
      </c>
      <c r="J23" s="217" t="str">
        <f>IF(EINGABEN!C23="","",EINGABEN!C23)</f>
        <v/>
      </c>
      <c r="K23" s="217" t="str">
        <f t="shared" si="4"/>
        <v/>
      </c>
      <c r="L23" s="217" t="str">
        <f t="shared" si="5"/>
        <v/>
      </c>
      <c r="M23" s="217" t="str">
        <f t="shared" si="6"/>
        <v/>
      </c>
      <c r="N23" s="217"/>
      <c r="O23" s="139"/>
      <c r="P23" s="139"/>
      <c r="Q23" s="139"/>
      <c r="R23" s="139"/>
      <c r="S23" s="139"/>
    </row>
    <row r="24" spans="1:19" x14ac:dyDescent="0.3">
      <c r="A24" s="150">
        <f>EINGABEN!A24</f>
        <v>2.7182818284590451</v>
      </c>
      <c r="B24" s="170">
        <f>EINGABEN!E24</f>
        <v>1</v>
      </c>
      <c r="C24" s="106"/>
      <c r="D24" s="106">
        <f t="shared" si="2"/>
        <v>3.6787943734684532E-9</v>
      </c>
      <c r="E24" s="106">
        <f t="shared" si="3"/>
        <v>1.0000000822403709E-9</v>
      </c>
      <c r="F24" s="247">
        <f>(LN(C52*(2.7182813^(D24))^C54))</f>
        <v>2.4638167384621097</v>
      </c>
      <c r="G24" s="141">
        <f t="shared" si="0"/>
        <v>3.6787946760138673E-18</v>
      </c>
      <c r="H24" s="141">
        <f t="shared" si="1"/>
        <v>1.3533528042263149E-17</v>
      </c>
      <c r="I24" s="141">
        <f t="shared" si="1"/>
        <v>1.0000001644807486E-18</v>
      </c>
      <c r="J24" s="217" t="str">
        <f>IF(EINGABEN!C24="","",EINGABEN!C24)</f>
        <v/>
      </c>
      <c r="K24" s="217" t="str">
        <f t="shared" si="4"/>
        <v/>
      </c>
      <c r="L24" s="217" t="str">
        <f t="shared" si="5"/>
        <v/>
      </c>
      <c r="M24" s="217" t="str">
        <f t="shared" si="6"/>
        <v/>
      </c>
      <c r="N24" s="217"/>
      <c r="O24" s="139"/>
      <c r="P24" s="139"/>
      <c r="Q24" s="139"/>
      <c r="R24" s="139"/>
      <c r="S24" s="139"/>
    </row>
    <row r="25" spans="1:19" x14ac:dyDescent="0.3">
      <c r="A25" s="150">
        <f>EINGABEN!A25</f>
        <v>2.7182818284590451</v>
      </c>
      <c r="B25" s="170">
        <f>EINGABEN!E25</f>
        <v>1</v>
      </c>
      <c r="C25" s="106"/>
      <c r="D25" s="106">
        <f t="shared" si="2"/>
        <v>3.6787943734684532E-9</v>
      </c>
      <c r="E25" s="106">
        <f t="shared" si="3"/>
        <v>1.0000000822403709E-9</v>
      </c>
      <c r="F25" s="247">
        <f>(LN(C52*(2.7182813^(D25))^C54))</f>
        <v>2.4638167384621097</v>
      </c>
      <c r="G25" s="141">
        <f t="shared" si="0"/>
        <v>3.6787946760138673E-18</v>
      </c>
      <c r="H25" s="141">
        <f t="shared" si="1"/>
        <v>1.3533528042263149E-17</v>
      </c>
      <c r="I25" s="141">
        <f t="shared" si="1"/>
        <v>1.0000001644807486E-18</v>
      </c>
      <c r="J25" s="217" t="str">
        <f>IF(EINGABEN!C25="","",EINGABEN!C25)</f>
        <v/>
      </c>
      <c r="K25" s="217" t="str">
        <f t="shared" si="4"/>
        <v/>
      </c>
      <c r="L25" s="217" t="str">
        <f t="shared" si="5"/>
        <v/>
      </c>
      <c r="M25" s="217" t="str">
        <f t="shared" si="6"/>
        <v/>
      </c>
      <c r="N25" s="217"/>
      <c r="O25" s="139"/>
      <c r="P25" s="139"/>
      <c r="Q25" s="139"/>
      <c r="R25" s="139"/>
      <c r="S25" s="139"/>
    </row>
    <row r="26" spans="1:19" x14ac:dyDescent="0.3">
      <c r="A26" s="150">
        <f>EINGABEN!A26</f>
        <v>2.7182818284590451</v>
      </c>
      <c r="B26" s="170">
        <f>EINGABEN!E26</f>
        <v>1</v>
      </c>
      <c r="C26" s="106"/>
      <c r="D26" s="106">
        <f t="shared" si="2"/>
        <v>3.6787943734684532E-9</v>
      </c>
      <c r="E26" s="106">
        <f t="shared" si="3"/>
        <v>1.0000000822403709E-9</v>
      </c>
      <c r="F26" s="247">
        <f>(LN(C52*(2.7182813^(D26))^C54))</f>
        <v>2.4638167384621097</v>
      </c>
      <c r="G26" s="141">
        <f t="shared" si="0"/>
        <v>3.6787946760138673E-18</v>
      </c>
      <c r="H26" s="141">
        <f t="shared" si="1"/>
        <v>1.3533528042263149E-17</v>
      </c>
      <c r="I26" s="141">
        <f t="shared" si="1"/>
        <v>1.0000001644807486E-18</v>
      </c>
      <c r="J26" s="217" t="str">
        <f>IF(EINGABEN!C26="","",EINGABEN!C26)</f>
        <v/>
      </c>
      <c r="K26" s="217" t="str">
        <f t="shared" si="4"/>
        <v/>
      </c>
      <c r="L26" s="217" t="str">
        <f t="shared" si="5"/>
        <v/>
      </c>
      <c r="M26" s="217" t="str">
        <f t="shared" si="6"/>
        <v/>
      </c>
      <c r="N26" s="217"/>
      <c r="O26" s="139"/>
      <c r="P26" s="139"/>
      <c r="Q26" s="139"/>
      <c r="R26" s="139"/>
      <c r="S26" s="139"/>
    </row>
    <row r="27" spans="1:19" x14ac:dyDescent="0.3">
      <c r="A27" s="150">
        <f>EINGABEN!A27</f>
        <v>2.7182818284590451</v>
      </c>
      <c r="B27" s="170">
        <f>EINGABEN!E27</f>
        <v>1</v>
      </c>
      <c r="C27" s="106"/>
      <c r="D27" s="106">
        <f t="shared" si="2"/>
        <v>3.6787943734684532E-9</v>
      </c>
      <c r="E27" s="106">
        <f t="shared" si="3"/>
        <v>1.0000000822403709E-9</v>
      </c>
      <c r="F27" s="247">
        <f>(LN(C52*(2.7182813^(D27))^C54))</f>
        <v>2.4638167384621097</v>
      </c>
      <c r="G27" s="141">
        <f t="shared" si="0"/>
        <v>3.6787946760138673E-18</v>
      </c>
      <c r="H27" s="141">
        <f t="shared" si="1"/>
        <v>1.3533528042263149E-17</v>
      </c>
      <c r="I27" s="141">
        <f t="shared" si="1"/>
        <v>1.0000001644807486E-18</v>
      </c>
      <c r="J27" s="217" t="str">
        <f>IF(EINGABEN!C27="","",EINGABEN!C27)</f>
        <v/>
      </c>
      <c r="K27" s="217" t="str">
        <f t="shared" si="4"/>
        <v/>
      </c>
      <c r="L27" s="217" t="str">
        <f t="shared" si="5"/>
        <v/>
      </c>
      <c r="M27" s="217" t="str">
        <f t="shared" si="6"/>
        <v/>
      </c>
      <c r="N27" s="217"/>
      <c r="O27" s="139"/>
      <c r="P27" s="139"/>
      <c r="Q27" s="139"/>
      <c r="R27" s="139"/>
      <c r="S27" s="139"/>
    </row>
    <row r="28" spans="1:19" x14ac:dyDescent="0.3">
      <c r="A28" s="150">
        <f>EINGABEN!A28</f>
        <v>2.7182818284590451</v>
      </c>
      <c r="B28" s="170">
        <f>EINGABEN!E28</f>
        <v>1</v>
      </c>
      <c r="C28" s="106"/>
      <c r="D28" s="106">
        <f t="shared" si="2"/>
        <v>3.6787943734684532E-9</v>
      </c>
      <c r="E28" s="106">
        <f t="shared" si="3"/>
        <v>1.0000000822403709E-9</v>
      </c>
      <c r="F28" s="247">
        <f>(LN(C52*(2.7182813^(D28))^C54))</f>
        <v>2.4638167384621097</v>
      </c>
      <c r="G28" s="141">
        <f t="shared" si="0"/>
        <v>3.6787946760138673E-18</v>
      </c>
      <c r="H28" s="141">
        <f t="shared" si="1"/>
        <v>1.3533528042263149E-17</v>
      </c>
      <c r="I28" s="141">
        <f t="shared" si="1"/>
        <v>1.0000001644807486E-18</v>
      </c>
      <c r="J28" s="139" t="str">
        <f>IF(EINGABEN!C28="","",EINGABEN!C28)</f>
        <v/>
      </c>
      <c r="K28" s="139" t="str">
        <f t="shared" si="4"/>
        <v/>
      </c>
      <c r="L28" s="139" t="str">
        <f t="shared" si="5"/>
        <v/>
      </c>
      <c r="M28" s="139" t="str">
        <f t="shared" si="6"/>
        <v/>
      </c>
      <c r="N28" s="139"/>
      <c r="O28" s="139"/>
      <c r="P28" s="139"/>
      <c r="Q28" s="139"/>
      <c r="R28" s="139"/>
      <c r="S28" s="139"/>
    </row>
    <row r="29" spans="1:19" x14ac:dyDescent="0.3">
      <c r="A29" s="150">
        <f>EINGABEN!A29</f>
        <v>2.7182818284590451</v>
      </c>
      <c r="B29" s="170">
        <f>EINGABEN!E29</f>
        <v>1</v>
      </c>
      <c r="C29" s="106"/>
      <c r="D29" s="106">
        <f t="shared" si="2"/>
        <v>3.6787943734684532E-9</v>
      </c>
      <c r="E29" s="106">
        <f t="shared" si="3"/>
        <v>1.0000000822403709E-9</v>
      </c>
      <c r="F29" s="247">
        <f>(LN(C52*(2.7182813^(D29))^C54))</f>
        <v>2.4638167384621097</v>
      </c>
      <c r="G29" s="141">
        <f t="shared" si="0"/>
        <v>3.6787946760138673E-18</v>
      </c>
      <c r="H29" s="141">
        <f t="shared" si="1"/>
        <v>1.3533528042263149E-17</v>
      </c>
      <c r="I29" s="141">
        <f t="shared" si="1"/>
        <v>1.0000001644807486E-18</v>
      </c>
      <c r="J29" s="139" t="str">
        <f>IF(EINGABEN!C29="","",EINGABEN!C29)</f>
        <v/>
      </c>
      <c r="K29" s="139" t="str">
        <f t="shared" si="4"/>
        <v/>
      </c>
      <c r="L29" s="139" t="str">
        <f t="shared" si="5"/>
        <v/>
      </c>
      <c r="M29" s="139" t="str">
        <f t="shared" si="6"/>
        <v/>
      </c>
      <c r="N29" s="139"/>
      <c r="O29" s="139"/>
      <c r="P29" s="139"/>
      <c r="Q29" s="139"/>
      <c r="R29" s="139"/>
      <c r="S29" s="139"/>
    </row>
    <row r="30" spans="1:19" x14ac:dyDescent="0.3">
      <c r="A30" s="150">
        <f>EINGABEN!A30</f>
        <v>2.7182818284590451</v>
      </c>
      <c r="B30" s="170">
        <f>EINGABEN!E30</f>
        <v>1</v>
      </c>
      <c r="C30" s="106"/>
      <c r="D30" s="106">
        <f t="shared" si="2"/>
        <v>3.6787943734684532E-9</v>
      </c>
      <c r="E30" s="106">
        <f t="shared" si="3"/>
        <v>1.0000000822403709E-9</v>
      </c>
      <c r="F30" s="247">
        <f>(LN(C52*(2.7182813^(D30))^C54))</f>
        <v>2.4638167384621097</v>
      </c>
      <c r="G30" s="141">
        <f t="shared" si="0"/>
        <v>3.6787946760138673E-18</v>
      </c>
      <c r="H30" s="141">
        <f t="shared" si="1"/>
        <v>1.3533528042263149E-17</v>
      </c>
      <c r="I30" s="141">
        <f t="shared" si="1"/>
        <v>1.0000001644807486E-18</v>
      </c>
      <c r="J30" s="139" t="str">
        <f>IF(EINGABEN!C30="","",EINGABEN!C30)</f>
        <v/>
      </c>
      <c r="K30" s="139" t="str">
        <f t="shared" si="4"/>
        <v/>
      </c>
      <c r="L30" s="139" t="str">
        <f t="shared" si="5"/>
        <v/>
      </c>
      <c r="M30" s="139" t="str">
        <f t="shared" si="6"/>
        <v/>
      </c>
      <c r="N30" s="139"/>
      <c r="O30" s="139"/>
      <c r="P30" s="139"/>
      <c r="Q30" s="139"/>
      <c r="R30" s="139"/>
      <c r="S30" s="139"/>
    </row>
    <row r="31" spans="1:19" x14ac:dyDescent="0.3">
      <c r="A31" s="150">
        <f>EINGABEN!A31</f>
        <v>2.7182818284590451</v>
      </c>
      <c r="B31" s="170">
        <f>EINGABEN!E31</f>
        <v>1</v>
      </c>
      <c r="C31" s="106"/>
      <c r="D31" s="106">
        <f t="shared" si="2"/>
        <v>3.6787943734684532E-9</v>
      </c>
      <c r="E31" s="106">
        <f t="shared" si="3"/>
        <v>1.0000000822403709E-9</v>
      </c>
      <c r="F31" s="247">
        <f>(LN(C52*(2.7182813^(D31))^C54))</f>
        <v>2.4638167384621097</v>
      </c>
      <c r="G31" s="141">
        <f t="shared" si="0"/>
        <v>3.6787946760138673E-18</v>
      </c>
      <c r="H31" s="141">
        <f t="shared" si="1"/>
        <v>1.3533528042263149E-17</v>
      </c>
      <c r="I31" s="141">
        <f t="shared" si="1"/>
        <v>1.0000001644807486E-18</v>
      </c>
      <c r="J31" s="139" t="str">
        <f>IF(EINGABEN!C31="","",EINGABEN!C31)</f>
        <v/>
      </c>
      <c r="K31" s="139" t="str">
        <f t="shared" si="4"/>
        <v/>
      </c>
      <c r="L31" s="139" t="str">
        <f t="shared" si="5"/>
        <v/>
      </c>
      <c r="M31" s="139" t="str">
        <f t="shared" si="6"/>
        <v/>
      </c>
      <c r="N31" s="139"/>
      <c r="O31" s="139"/>
      <c r="P31" s="139"/>
      <c r="Q31" s="139"/>
      <c r="R31" s="139"/>
      <c r="S31" s="139"/>
    </row>
    <row r="32" spans="1:19" x14ac:dyDescent="0.3">
      <c r="A32" s="150">
        <f>EINGABEN!A32</f>
        <v>2.7182818284590451</v>
      </c>
      <c r="B32" s="170">
        <f>EINGABEN!E32</f>
        <v>1</v>
      </c>
      <c r="C32" s="106"/>
      <c r="D32" s="106">
        <f t="shared" si="2"/>
        <v>3.6787943734684532E-9</v>
      </c>
      <c r="E32" s="106">
        <f t="shared" si="3"/>
        <v>1.0000000822403709E-9</v>
      </c>
      <c r="F32" s="247">
        <f>(LN(C52*(2.7182813^(D32))^C54))</f>
        <v>2.4638167384621097</v>
      </c>
      <c r="G32" s="141">
        <f t="shared" si="0"/>
        <v>3.6787946760138673E-18</v>
      </c>
      <c r="H32" s="141">
        <f t="shared" si="1"/>
        <v>1.3533528042263149E-17</v>
      </c>
      <c r="I32" s="141">
        <f t="shared" si="1"/>
        <v>1.0000001644807486E-18</v>
      </c>
      <c r="J32" s="139" t="str">
        <f>IF(EINGABEN!C32="","",EINGABEN!C32)</f>
        <v/>
      </c>
      <c r="K32" s="139" t="str">
        <f t="shared" si="4"/>
        <v/>
      </c>
      <c r="L32" s="139" t="str">
        <f t="shared" si="5"/>
        <v/>
      </c>
      <c r="M32" s="139" t="str">
        <f t="shared" si="6"/>
        <v/>
      </c>
      <c r="N32" s="139"/>
      <c r="O32" s="139"/>
      <c r="P32" s="139"/>
      <c r="Q32" s="139"/>
      <c r="R32" s="139"/>
      <c r="S32" s="139"/>
    </row>
    <row r="33" spans="1:19" x14ac:dyDescent="0.3">
      <c r="A33" s="150">
        <f>EINGABEN!A33</f>
        <v>2.7182818284590451</v>
      </c>
      <c r="B33" s="170">
        <f>EINGABEN!E33</f>
        <v>1</v>
      </c>
      <c r="C33" s="106"/>
      <c r="D33" s="106">
        <f t="shared" si="2"/>
        <v>3.6787943734684532E-9</v>
      </c>
      <c r="E33" s="106">
        <f t="shared" si="3"/>
        <v>1.0000000822403709E-9</v>
      </c>
      <c r="F33" s="247">
        <f>(LN(C52*(2.7182813^(D33))^C54))</f>
        <v>2.4638167384621097</v>
      </c>
      <c r="G33" s="141">
        <f t="shared" si="0"/>
        <v>3.6787946760138673E-18</v>
      </c>
      <c r="H33" s="141">
        <f t="shared" si="1"/>
        <v>1.3533528042263149E-17</v>
      </c>
      <c r="I33" s="141">
        <f t="shared" si="1"/>
        <v>1.0000001644807486E-18</v>
      </c>
      <c r="J33" s="139" t="str">
        <f>IF(EINGABEN!C33="","",EINGABEN!C33)</f>
        <v/>
      </c>
      <c r="K33" s="139" t="str">
        <f t="shared" si="4"/>
        <v/>
      </c>
      <c r="L33" s="139" t="str">
        <f t="shared" si="5"/>
        <v/>
      </c>
      <c r="M33" s="139" t="str">
        <f t="shared" si="6"/>
        <v/>
      </c>
      <c r="N33" s="139"/>
      <c r="O33" s="139"/>
      <c r="P33" s="139"/>
      <c r="Q33" s="139"/>
      <c r="R33" s="139"/>
      <c r="S33" s="139"/>
    </row>
    <row r="34" spans="1:19" x14ac:dyDescent="0.3">
      <c r="A34" s="150">
        <f>EINGABEN!A34</f>
        <v>2.7182818284590451</v>
      </c>
      <c r="B34" s="170">
        <f>EINGABEN!E34</f>
        <v>1</v>
      </c>
      <c r="C34" s="106"/>
      <c r="D34" s="106">
        <f t="shared" si="2"/>
        <v>3.6787943734684532E-9</v>
      </c>
      <c r="E34" s="106">
        <f t="shared" si="3"/>
        <v>1.0000000822403709E-9</v>
      </c>
      <c r="F34" s="247">
        <f>(LN(C52*(2.7182813^(D34))^C54))</f>
        <v>2.4638167384621097</v>
      </c>
      <c r="G34" s="141">
        <f t="shared" si="0"/>
        <v>3.6787946760138673E-18</v>
      </c>
      <c r="H34" s="141">
        <f t="shared" si="1"/>
        <v>1.3533528042263149E-17</v>
      </c>
      <c r="I34" s="141">
        <f t="shared" si="1"/>
        <v>1.0000001644807486E-18</v>
      </c>
      <c r="J34" s="139" t="str">
        <f>IF(EINGABEN!C34="","",EINGABEN!C34)</f>
        <v/>
      </c>
      <c r="K34" s="139" t="str">
        <f t="shared" si="4"/>
        <v/>
      </c>
      <c r="L34" s="139" t="str">
        <f t="shared" si="5"/>
        <v/>
      </c>
      <c r="M34" s="139" t="str">
        <f t="shared" si="6"/>
        <v/>
      </c>
      <c r="N34" s="139"/>
      <c r="O34" s="139"/>
      <c r="P34" s="139"/>
      <c r="Q34" s="139"/>
      <c r="R34" s="139"/>
      <c r="S34" s="139"/>
    </row>
    <row r="35" spans="1:19" x14ac:dyDescent="0.3">
      <c r="A35" s="150">
        <f>EINGABEN!A35</f>
        <v>2.7182818284590451</v>
      </c>
      <c r="B35" s="170">
        <f>EINGABEN!E35</f>
        <v>1</v>
      </c>
      <c r="C35" s="106"/>
      <c r="D35" s="106">
        <f t="shared" si="2"/>
        <v>3.6787943734684532E-9</v>
      </c>
      <c r="E35" s="106">
        <f t="shared" si="3"/>
        <v>1.0000000822403709E-9</v>
      </c>
      <c r="F35" s="247">
        <f>(LN(C52*(2.7182813^(D35))^C54))</f>
        <v>2.4638167384621097</v>
      </c>
      <c r="G35" s="141">
        <f t="shared" si="0"/>
        <v>3.6787946760138673E-18</v>
      </c>
      <c r="H35" s="141">
        <f t="shared" si="1"/>
        <v>1.3533528042263149E-17</v>
      </c>
      <c r="I35" s="141">
        <f t="shared" si="1"/>
        <v>1.0000001644807486E-18</v>
      </c>
      <c r="J35" s="139" t="str">
        <f>IF(EINGABEN!C35="","",EINGABEN!C35)</f>
        <v/>
      </c>
      <c r="K35" s="139" t="str">
        <f t="shared" si="4"/>
        <v/>
      </c>
      <c r="L35" s="139" t="str">
        <f t="shared" si="5"/>
        <v/>
      </c>
      <c r="M35" s="139" t="str">
        <f t="shared" si="6"/>
        <v/>
      </c>
      <c r="N35" s="139"/>
      <c r="O35" s="139"/>
      <c r="P35" s="139"/>
      <c r="Q35" s="139"/>
      <c r="R35" s="139"/>
      <c r="S35" s="139"/>
    </row>
    <row r="36" spans="1:19" x14ac:dyDescent="0.3">
      <c r="A36" s="150">
        <f>EINGABEN!A36</f>
        <v>2.7182818284590451</v>
      </c>
      <c r="B36" s="170">
        <f>EINGABEN!E36</f>
        <v>1</v>
      </c>
      <c r="C36" s="106"/>
      <c r="D36" s="106">
        <f t="shared" si="2"/>
        <v>3.6787943734684532E-9</v>
      </c>
      <c r="E36" s="106">
        <f t="shared" si="3"/>
        <v>1.0000000822403709E-9</v>
      </c>
      <c r="F36" s="247">
        <f>(LN(C52*(2.7182813^(D36))^C54))</f>
        <v>2.4638167384621097</v>
      </c>
      <c r="G36" s="141">
        <f t="shared" si="0"/>
        <v>3.6787946760138673E-18</v>
      </c>
      <c r="H36" s="141">
        <f t="shared" si="1"/>
        <v>1.3533528042263149E-17</v>
      </c>
      <c r="I36" s="141">
        <f t="shared" si="1"/>
        <v>1.0000001644807486E-18</v>
      </c>
      <c r="J36" s="139" t="str">
        <f>IF(EINGABEN!C36="","",EINGABEN!C36)</f>
        <v/>
      </c>
      <c r="K36" s="139" t="str">
        <f t="shared" si="4"/>
        <v/>
      </c>
      <c r="L36" s="139" t="str">
        <f t="shared" si="5"/>
        <v/>
      </c>
      <c r="M36" s="139" t="str">
        <f t="shared" si="6"/>
        <v/>
      </c>
      <c r="N36" s="139"/>
      <c r="O36" s="139"/>
      <c r="P36" s="139"/>
      <c r="Q36" s="139"/>
      <c r="R36" s="139"/>
      <c r="S36" s="139"/>
    </row>
    <row r="37" spans="1:19" x14ac:dyDescent="0.3">
      <c r="A37" s="150">
        <f>EINGABEN!A37</f>
        <v>2.7182818284590451</v>
      </c>
      <c r="B37" s="170">
        <f>EINGABEN!E37</f>
        <v>1</v>
      </c>
      <c r="C37" s="106"/>
      <c r="D37" s="106">
        <f t="shared" si="2"/>
        <v>3.6787943734684532E-9</v>
      </c>
      <c r="E37" s="106">
        <f t="shared" si="3"/>
        <v>1.0000000822403709E-9</v>
      </c>
      <c r="F37" s="247">
        <f>(LN(C52*(2.7182813^(D37))^C54))</f>
        <v>2.4638167384621097</v>
      </c>
      <c r="G37" s="141">
        <f t="shared" si="0"/>
        <v>3.6787946760138673E-18</v>
      </c>
      <c r="H37" s="141">
        <f t="shared" si="1"/>
        <v>1.3533528042263149E-17</v>
      </c>
      <c r="I37" s="141">
        <f t="shared" si="1"/>
        <v>1.0000001644807486E-18</v>
      </c>
      <c r="J37" s="139" t="str">
        <f>IF(EINGABEN!C37="","",EINGABEN!C37)</f>
        <v/>
      </c>
      <c r="K37" s="139" t="str">
        <f t="shared" si="4"/>
        <v/>
      </c>
      <c r="L37" s="139" t="str">
        <f t="shared" si="5"/>
        <v/>
      </c>
      <c r="M37" s="139" t="str">
        <f t="shared" si="6"/>
        <v/>
      </c>
      <c r="N37" s="139"/>
      <c r="O37" s="139"/>
      <c r="P37" s="139"/>
      <c r="Q37" s="139"/>
      <c r="R37" s="139"/>
      <c r="S37" s="139"/>
    </row>
    <row r="38" spans="1:19" x14ac:dyDescent="0.3">
      <c r="A38" s="150">
        <f>EINGABEN!A38</f>
        <v>2.7182818284590451</v>
      </c>
      <c r="B38" s="170">
        <f>EINGABEN!E38</f>
        <v>1</v>
      </c>
      <c r="C38" s="106"/>
      <c r="D38" s="106">
        <f t="shared" si="2"/>
        <v>3.6787943734684532E-9</v>
      </c>
      <c r="E38" s="106">
        <f t="shared" si="3"/>
        <v>1.0000000822403709E-9</v>
      </c>
      <c r="F38" s="247">
        <f>(LN(C52*(2.7182813^(D38))^C54))</f>
        <v>2.4638167384621097</v>
      </c>
      <c r="G38" s="141">
        <f t="shared" si="0"/>
        <v>3.6787946760138673E-18</v>
      </c>
      <c r="H38" s="141">
        <f t="shared" si="1"/>
        <v>1.3533528042263149E-17</v>
      </c>
      <c r="I38" s="141">
        <f t="shared" si="1"/>
        <v>1.0000001644807486E-18</v>
      </c>
      <c r="J38" s="139" t="str">
        <f>IF(EINGABEN!C38="","",EINGABEN!C38)</f>
        <v/>
      </c>
      <c r="K38" s="139" t="str">
        <f t="shared" si="4"/>
        <v/>
      </c>
      <c r="L38" s="139" t="str">
        <f t="shared" si="5"/>
        <v/>
      </c>
      <c r="M38" s="139" t="str">
        <f t="shared" si="6"/>
        <v/>
      </c>
      <c r="N38" s="139"/>
      <c r="O38" s="139"/>
      <c r="P38" s="139"/>
      <c r="Q38" s="139"/>
      <c r="R38" s="139"/>
      <c r="S38" s="139"/>
    </row>
    <row r="39" spans="1:19" x14ac:dyDescent="0.3">
      <c r="A39" s="150">
        <f>EINGABEN!A39</f>
        <v>2.7182818284590451</v>
      </c>
      <c r="B39" s="170">
        <f>EINGABEN!E39</f>
        <v>1</v>
      </c>
      <c r="C39" s="106"/>
      <c r="D39" s="106">
        <f t="shared" si="2"/>
        <v>3.6787943734684532E-9</v>
      </c>
      <c r="E39" s="106">
        <f t="shared" si="3"/>
        <v>1.0000000822403709E-9</v>
      </c>
      <c r="F39" s="247">
        <f>(LN(C52*(2.7182813^(D39))^C54))</f>
        <v>2.4638167384621097</v>
      </c>
      <c r="G39" s="141">
        <f t="shared" si="0"/>
        <v>3.6787946760138673E-18</v>
      </c>
      <c r="H39" s="141">
        <f t="shared" si="1"/>
        <v>1.3533528042263149E-17</v>
      </c>
      <c r="I39" s="141">
        <f t="shared" si="1"/>
        <v>1.0000001644807486E-18</v>
      </c>
      <c r="J39" s="139" t="str">
        <f>IF(EINGABEN!C39="","",EINGABEN!C39)</f>
        <v/>
      </c>
      <c r="K39" s="139" t="str">
        <f t="shared" si="4"/>
        <v/>
      </c>
      <c r="L39" s="139" t="str">
        <f t="shared" si="5"/>
        <v/>
      </c>
      <c r="M39" s="139" t="str">
        <f t="shared" si="6"/>
        <v/>
      </c>
      <c r="N39" s="139"/>
      <c r="O39" s="139"/>
      <c r="P39" s="139"/>
      <c r="Q39" s="139"/>
      <c r="R39" s="139"/>
      <c r="S39" s="139"/>
    </row>
    <row r="40" spans="1:19" x14ac:dyDescent="0.3">
      <c r="A40" s="150">
        <f>EINGABEN!A40</f>
        <v>2.7182818284590451</v>
      </c>
      <c r="B40" s="170">
        <f>EINGABEN!E40</f>
        <v>1</v>
      </c>
      <c r="C40" s="106"/>
      <c r="D40" s="106">
        <f t="shared" si="2"/>
        <v>3.6787943734684532E-9</v>
      </c>
      <c r="E40" s="106">
        <f t="shared" si="3"/>
        <v>1.0000000822403709E-9</v>
      </c>
      <c r="F40" s="247">
        <f>(LN(C52*(2.7182813^(D40))^C54))</f>
        <v>2.4638167384621097</v>
      </c>
      <c r="G40" s="141">
        <f t="shared" si="0"/>
        <v>3.6787946760138673E-18</v>
      </c>
      <c r="H40" s="141">
        <f t="shared" si="1"/>
        <v>1.3533528042263149E-17</v>
      </c>
      <c r="I40" s="141">
        <f t="shared" si="1"/>
        <v>1.0000001644807486E-18</v>
      </c>
      <c r="J40" s="139" t="str">
        <f>IF(EINGABEN!C40="","",EINGABEN!C40)</f>
        <v/>
      </c>
      <c r="K40" s="139" t="str">
        <f t="shared" si="4"/>
        <v/>
      </c>
      <c r="L40" s="139" t="str">
        <f t="shared" si="5"/>
        <v/>
      </c>
      <c r="M40" s="139" t="str">
        <f t="shared" si="6"/>
        <v/>
      </c>
      <c r="N40" s="139"/>
      <c r="O40" s="139"/>
      <c r="P40" s="139"/>
      <c r="Q40" s="139"/>
      <c r="R40" s="139"/>
      <c r="S40" s="139"/>
    </row>
    <row r="41" spans="1:19" x14ac:dyDescent="0.3">
      <c r="A41" s="150">
        <f>EINGABEN!A41</f>
        <v>2.7182818284590451</v>
      </c>
      <c r="B41" s="170">
        <f>EINGABEN!E41</f>
        <v>1</v>
      </c>
      <c r="C41" s="106"/>
      <c r="D41" s="106">
        <f t="shared" si="2"/>
        <v>3.6787943734684532E-9</v>
      </c>
      <c r="E41" s="106">
        <f t="shared" si="3"/>
        <v>1.0000000822403709E-9</v>
      </c>
      <c r="F41" s="247">
        <f>(LN(C52*(2.7182813^(D41))^C54))</f>
        <v>2.4638167384621097</v>
      </c>
      <c r="G41" s="141">
        <f t="shared" si="0"/>
        <v>3.6787946760138673E-18</v>
      </c>
      <c r="H41" s="141">
        <f t="shared" si="1"/>
        <v>1.3533528042263149E-17</v>
      </c>
      <c r="I41" s="141">
        <f t="shared" si="1"/>
        <v>1.0000001644807486E-18</v>
      </c>
      <c r="J41" s="139" t="str">
        <f>IF(EINGABEN!C41="","",EINGABEN!C41)</f>
        <v/>
      </c>
      <c r="K41" s="139" t="str">
        <f t="shared" si="4"/>
        <v/>
      </c>
      <c r="L41" s="139" t="str">
        <f t="shared" si="5"/>
        <v/>
      </c>
      <c r="M41" s="139" t="str">
        <f t="shared" si="6"/>
        <v/>
      </c>
      <c r="N41" s="139"/>
      <c r="O41" s="139"/>
      <c r="P41" s="139"/>
      <c r="Q41" s="139"/>
      <c r="R41" s="139"/>
      <c r="S41" s="139"/>
    </row>
    <row r="42" spans="1:19" x14ac:dyDescent="0.3">
      <c r="A42" s="150">
        <f>EINGABEN!A42</f>
        <v>2.7182818284590451</v>
      </c>
      <c r="B42" s="170">
        <f>EINGABEN!E42</f>
        <v>1</v>
      </c>
      <c r="C42" s="106"/>
      <c r="D42" s="106">
        <f t="shared" si="2"/>
        <v>3.6787943734684532E-9</v>
      </c>
      <c r="E42" s="106">
        <f t="shared" si="3"/>
        <v>1.0000000822403709E-9</v>
      </c>
      <c r="F42" s="247">
        <f>(LN(C52*(2.7182813^(D42))^C54))</f>
        <v>2.4638167384621097</v>
      </c>
      <c r="G42" s="141">
        <f t="shared" si="0"/>
        <v>3.6787946760138673E-18</v>
      </c>
      <c r="H42" s="141">
        <f t="shared" si="1"/>
        <v>1.3533528042263149E-17</v>
      </c>
      <c r="I42" s="141">
        <f t="shared" si="1"/>
        <v>1.0000001644807486E-18</v>
      </c>
      <c r="J42" s="139" t="str">
        <f>IF(EINGABEN!C42="","",EINGABEN!C42)</f>
        <v/>
      </c>
      <c r="K42" s="139" t="str">
        <f t="shared" si="4"/>
        <v/>
      </c>
      <c r="L42" s="139" t="str">
        <f t="shared" si="5"/>
        <v/>
      </c>
      <c r="M42" s="139" t="str">
        <f t="shared" si="6"/>
        <v/>
      </c>
      <c r="N42" s="139"/>
      <c r="O42" s="139"/>
      <c r="P42" s="139"/>
      <c r="Q42" s="139"/>
      <c r="R42" s="139"/>
      <c r="S42" s="139"/>
    </row>
    <row r="43" spans="1:19" x14ac:dyDescent="0.3">
      <c r="A43" s="150">
        <f>EINGABEN!A43</f>
        <v>2.7182818284590451</v>
      </c>
      <c r="B43" s="170">
        <f>EINGABEN!E43</f>
        <v>1</v>
      </c>
      <c r="C43" s="106"/>
      <c r="D43" s="106">
        <f t="shared" si="2"/>
        <v>3.6787943734684532E-9</v>
      </c>
      <c r="E43" s="106">
        <f t="shared" si="3"/>
        <v>1.0000000822403709E-9</v>
      </c>
      <c r="F43" s="247">
        <f>(LN(C52*(2.7182813^(D43))^C54))</f>
        <v>2.4638167384621097</v>
      </c>
      <c r="G43" s="141">
        <f t="shared" si="0"/>
        <v>3.6787946760138673E-18</v>
      </c>
      <c r="H43" s="141">
        <f t="shared" si="1"/>
        <v>1.3533528042263149E-17</v>
      </c>
      <c r="I43" s="141">
        <f t="shared" si="1"/>
        <v>1.0000001644807486E-18</v>
      </c>
      <c r="J43" s="139" t="str">
        <f>IF(EINGABEN!C43="","",EINGABEN!C43)</f>
        <v/>
      </c>
      <c r="K43" s="139" t="str">
        <f t="shared" si="4"/>
        <v/>
      </c>
      <c r="L43" s="139" t="str">
        <f t="shared" si="5"/>
        <v/>
      </c>
      <c r="M43" s="139" t="str">
        <f t="shared" si="6"/>
        <v/>
      </c>
      <c r="N43" s="139"/>
      <c r="O43" s="139"/>
      <c r="P43" s="139"/>
      <c r="Q43" s="139"/>
      <c r="R43" s="139"/>
      <c r="S43" s="139"/>
    </row>
    <row r="44" spans="1:19" x14ac:dyDescent="0.3">
      <c r="A44" s="150">
        <f>EINGABEN!A44</f>
        <v>2.7182818284590451</v>
      </c>
      <c r="B44" s="170">
        <f>EINGABEN!E44</f>
        <v>1</v>
      </c>
      <c r="C44" s="106"/>
      <c r="D44" s="106">
        <f t="shared" si="2"/>
        <v>3.6787943734684532E-9</v>
      </c>
      <c r="E44" s="106">
        <f t="shared" si="3"/>
        <v>1.0000000822403709E-9</v>
      </c>
      <c r="F44" s="247">
        <f>(LN(C52*(2.7182813^(D44))^C54))</f>
        <v>2.4638167384621097</v>
      </c>
      <c r="G44" s="141">
        <f t="shared" si="0"/>
        <v>3.6787946760138673E-18</v>
      </c>
      <c r="H44" s="141">
        <f t="shared" si="1"/>
        <v>1.3533528042263149E-17</v>
      </c>
      <c r="I44" s="141">
        <f t="shared" si="1"/>
        <v>1.0000001644807486E-18</v>
      </c>
      <c r="J44" s="139" t="str">
        <f>IF(EINGABEN!C44="","",EINGABEN!C44)</f>
        <v/>
      </c>
      <c r="K44" s="139" t="str">
        <f t="shared" si="4"/>
        <v/>
      </c>
      <c r="L44" s="139" t="str">
        <f t="shared" si="5"/>
        <v/>
      </c>
      <c r="M44" s="139" t="str">
        <f t="shared" si="6"/>
        <v/>
      </c>
      <c r="N44" s="139"/>
      <c r="O44" s="139"/>
      <c r="P44" s="139"/>
      <c r="Q44" s="139"/>
      <c r="R44" s="139"/>
      <c r="S44" s="139"/>
    </row>
    <row r="45" spans="1:19" ht="15" thickBot="1" x14ac:dyDescent="0.35">
      <c r="A45" s="207">
        <f>EINGABEN!A45</f>
        <v>2.7182818284590451</v>
      </c>
      <c r="B45" s="184">
        <f>EINGABEN!E45</f>
        <v>1</v>
      </c>
      <c r="C45" s="208"/>
      <c r="D45" s="208">
        <f t="shared" si="2"/>
        <v>3.6787943734684532E-9</v>
      </c>
      <c r="E45" s="208">
        <f t="shared" si="3"/>
        <v>1.0000000822403709E-9</v>
      </c>
      <c r="F45" s="248">
        <f>(LN(C52*(2.7182813^(D45))^C54))</f>
        <v>2.4638167384621097</v>
      </c>
      <c r="G45" s="141">
        <f t="shared" si="0"/>
        <v>3.6787946760138673E-18</v>
      </c>
      <c r="H45" s="141">
        <f t="shared" si="1"/>
        <v>1.3533528042263149E-17</v>
      </c>
      <c r="I45" s="141">
        <f t="shared" si="1"/>
        <v>1.0000001644807486E-18</v>
      </c>
      <c r="J45" s="139" t="str">
        <f>IF(EINGABEN!C45="","",EINGABEN!C45)</f>
        <v/>
      </c>
      <c r="K45" s="139" t="str">
        <f t="shared" si="4"/>
        <v/>
      </c>
      <c r="L45" s="139" t="str">
        <f t="shared" si="5"/>
        <v/>
      </c>
      <c r="M45" s="139" t="str">
        <f t="shared" si="6"/>
        <v/>
      </c>
      <c r="N45" s="139"/>
      <c r="O45" s="139"/>
      <c r="P45" s="139"/>
      <c r="Q45" s="139"/>
      <c r="R45" s="139"/>
      <c r="S45" s="139"/>
    </row>
    <row r="46" spans="1:19" ht="15" thickTop="1" x14ac:dyDescent="0.3">
      <c r="A46" s="241" t="s">
        <v>48</v>
      </c>
      <c r="B46" s="51"/>
      <c r="C46" s="51"/>
      <c r="D46" s="51"/>
      <c r="E46" s="51"/>
      <c r="F46" s="46"/>
      <c r="G46" s="217"/>
      <c r="H46" s="217"/>
      <c r="I46" s="217"/>
      <c r="J46" s="217"/>
      <c r="K46" s="249"/>
      <c r="L46" s="249" t="s">
        <v>116</v>
      </c>
      <c r="M46" s="249">
        <f>((SUM(M6:M45))/((EINGABEN!D46)-1))^0.5</f>
        <v>37.393409052902292</v>
      </c>
      <c r="N46" s="217"/>
      <c r="O46" s="139"/>
      <c r="P46" s="139"/>
      <c r="Q46" s="139"/>
      <c r="R46" s="139"/>
      <c r="S46" s="139"/>
    </row>
    <row r="47" spans="1:19" x14ac:dyDescent="0.3">
      <c r="A47" s="250" t="s">
        <v>40</v>
      </c>
      <c r="B47" s="51" t="s">
        <v>43</v>
      </c>
      <c r="C47" s="51"/>
      <c r="D47" s="51"/>
      <c r="E47" s="51"/>
      <c r="F47" s="177"/>
      <c r="G47" s="139"/>
      <c r="H47" s="139"/>
      <c r="I47" s="139"/>
      <c r="J47" s="139"/>
      <c r="K47" s="156"/>
      <c r="L47" s="156"/>
      <c r="M47" s="156"/>
      <c r="N47" s="139"/>
      <c r="O47" s="139"/>
      <c r="P47" s="139"/>
      <c r="Q47" s="139"/>
      <c r="R47" s="139"/>
      <c r="S47" s="139"/>
    </row>
    <row r="48" spans="1:19" x14ac:dyDescent="0.3">
      <c r="A48" s="250" t="s">
        <v>41</v>
      </c>
      <c r="B48" s="49" t="s">
        <v>53</v>
      </c>
      <c r="C48" s="51"/>
      <c r="D48" s="51"/>
      <c r="E48" s="51"/>
      <c r="F48" s="177"/>
      <c r="G48" s="139"/>
      <c r="H48" s="139"/>
      <c r="I48" s="139"/>
      <c r="J48" s="139"/>
      <c r="K48" s="156" t="s">
        <v>117</v>
      </c>
      <c r="L48" s="156">
        <f>(SUM(L6:L45))/(EINGABEN!D46)</f>
        <v>68.569587555398272</v>
      </c>
      <c r="M48" s="156"/>
      <c r="N48" s="139"/>
      <c r="O48" s="139"/>
      <c r="P48" s="139"/>
      <c r="Q48" s="139"/>
      <c r="R48" s="139"/>
      <c r="S48" s="139"/>
    </row>
    <row r="49" spans="1:19" ht="15" thickBot="1" x14ac:dyDescent="0.35">
      <c r="A49" s="231" t="s">
        <v>39</v>
      </c>
      <c r="B49" s="242"/>
      <c r="C49" s="242"/>
      <c r="D49" s="242"/>
      <c r="E49" s="242"/>
      <c r="F49" s="196"/>
      <c r="G49" s="139"/>
      <c r="H49" s="139"/>
      <c r="I49" s="139"/>
      <c r="J49" s="139"/>
      <c r="K49" s="139"/>
      <c r="L49" s="139"/>
      <c r="M49" s="139"/>
      <c r="N49" s="139"/>
      <c r="O49" s="139"/>
      <c r="P49" s="139"/>
      <c r="Q49" s="139"/>
      <c r="R49" s="139"/>
      <c r="S49" s="139"/>
    </row>
    <row r="50" spans="1:19" ht="15" thickTop="1" x14ac:dyDescent="0.3">
      <c r="A50" s="223"/>
      <c r="B50" s="213"/>
      <c r="C50" s="213"/>
      <c r="D50" s="213"/>
      <c r="E50" s="213"/>
      <c r="F50" s="224"/>
      <c r="G50" s="139"/>
      <c r="H50" s="139"/>
      <c r="I50" s="139"/>
      <c r="J50" s="139"/>
      <c r="K50" s="139"/>
      <c r="L50" s="139"/>
      <c r="M50" s="139"/>
      <c r="N50" s="139"/>
      <c r="O50" s="139"/>
      <c r="P50" s="139"/>
      <c r="Q50" s="139"/>
      <c r="R50" s="139"/>
      <c r="S50" s="139"/>
    </row>
    <row r="51" spans="1:19" x14ac:dyDescent="0.3">
      <c r="A51" s="241"/>
      <c r="B51" s="51"/>
      <c r="C51" s="51"/>
      <c r="D51" s="51"/>
      <c r="E51" s="51"/>
      <c r="F51" s="177"/>
      <c r="G51" s="139"/>
      <c r="H51" s="139"/>
      <c r="I51" s="139"/>
      <c r="J51" s="139"/>
      <c r="K51" s="139"/>
      <c r="L51" s="139"/>
      <c r="M51" s="139"/>
      <c r="N51" s="139"/>
      <c r="O51" s="139"/>
      <c r="P51" s="139"/>
      <c r="Q51" s="139"/>
      <c r="R51" s="139"/>
      <c r="S51" s="139"/>
    </row>
    <row r="52" spans="1:19" x14ac:dyDescent="0.3">
      <c r="A52" s="225" t="s">
        <v>11</v>
      </c>
      <c r="B52" s="226"/>
      <c r="C52" s="164">
        <f>IF(MIN(EINGABEN!C6:'EINGABEN'!C45)&lt;1,"keine Lösung",IF(D59=0,0,ROUND((2.71828183^((E4-(C54*D4))/(C4))),6)))</f>
        <v>11.749571</v>
      </c>
      <c r="D52" s="51"/>
      <c r="E52" s="51"/>
      <c r="F52" s="177"/>
      <c r="G52" s="139"/>
      <c r="H52" s="139"/>
      <c r="I52" s="139"/>
      <c r="J52" s="139"/>
      <c r="K52" s="139"/>
      <c r="L52" s="139"/>
      <c r="M52" s="139"/>
      <c r="N52" s="139"/>
      <c r="O52" s="139"/>
      <c r="P52" s="139"/>
      <c r="Q52" s="139"/>
      <c r="R52" s="139"/>
      <c r="S52" s="139"/>
    </row>
    <row r="53" spans="1:19" x14ac:dyDescent="0.3">
      <c r="A53" s="227"/>
      <c r="B53" s="195"/>
      <c r="C53" s="195"/>
      <c r="D53" s="51"/>
      <c r="E53" s="51"/>
      <c r="F53" s="177"/>
      <c r="G53" s="139"/>
      <c r="H53" s="139"/>
      <c r="I53" s="139"/>
      <c r="J53" s="139"/>
      <c r="K53" s="139"/>
      <c r="L53" s="139"/>
      <c r="M53" s="139"/>
      <c r="N53" s="139"/>
      <c r="O53" s="139"/>
      <c r="P53" s="139"/>
      <c r="Q53" s="139"/>
      <c r="R53" s="139"/>
      <c r="S53" s="139"/>
    </row>
    <row r="54" spans="1:19" x14ac:dyDescent="0.3">
      <c r="A54" s="228" t="s">
        <v>12</v>
      </c>
      <c r="B54" s="195"/>
      <c r="C54" s="195">
        <f>IF(MIN(EINGABEN!C6:'EINGABEN'!C45)&lt;1,"keine Lösung",IF(D59=0,0,ROUND((C4*G4-D4*E4)/(C4*H4-(D4)^2),6)))</f>
        <v>2.4945050000000002</v>
      </c>
      <c r="D54" s="51"/>
      <c r="E54" s="51"/>
      <c r="F54" s="177"/>
      <c r="G54" s="139"/>
      <c r="H54" s="139"/>
      <c r="I54" s="139"/>
      <c r="J54" s="139"/>
      <c r="K54" s="139"/>
      <c r="L54" s="139"/>
      <c r="M54" s="139"/>
      <c r="N54" s="139"/>
      <c r="O54" s="139"/>
      <c r="P54" s="139"/>
      <c r="Q54" s="139"/>
      <c r="R54" s="139"/>
      <c r="S54" s="139"/>
    </row>
    <row r="55" spans="1:19" x14ac:dyDescent="0.3">
      <c r="A55" s="227"/>
      <c r="B55" s="195"/>
      <c r="C55" s="195"/>
      <c r="D55" s="51"/>
      <c r="E55" s="51"/>
      <c r="F55" s="177"/>
      <c r="G55" s="139"/>
      <c r="H55" s="139"/>
      <c r="I55" s="139"/>
      <c r="J55" s="139"/>
      <c r="K55" s="139"/>
      <c r="L55" s="139"/>
      <c r="M55" s="139"/>
      <c r="N55" s="139"/>
      <c r="O55" s="139"/>
      <c r="P55" s="139"/>
      <c r="Q55" s="139"/>
      <c r="R55" s="139"/>
      <c r="S55" s="139"/>
    </row>
    <row r="56" spans="1:19" x14ac:dyDescent="0.3">
      <c r="A56" s="228" t="s">
        <v>13</v>
      </c>
      <c r="B56" s="195"/>
      <c r="C56" s="195">
        <f>IF(MIN(EINGABEN!C6:'EINGABEN'!C45)&lt;1,"keine Lösung",IF(D59=0,0,IF(D58/D59&gt;1,1,ROUND((D58/D59),6))))</f>
        <v>0.96393099999999998</v>
      </c>
      <c r="D56" s="51"/>
      <c r="E56" s="51"/>
      <c r="F56" s="177"/>
      <c r="G56" s="139"/>
      <c r="H56" s="139"/>
      <c r="I56" s="139"/>
      <c r="J56" s="139"/>
      <c r="K56" s="139"/>
      <c r="L56" s="139"/>
      <c r="M56" s="139"/>
      <c r="N56" s="139"/>
      <c r="O56" s="139"/>
      <c r="P56" s="139"/>
      <c r="Q56" s="139"/>
      <c r="R56" s="139"/>
      <c r="S56" s="139"/>
    </row>
    <row r="57" spans="1:19" ht="15" thickBot="1" x14ac:dyDescent="0.35">
      <c r="A57" s="231"/>
      <c r="B57" s="242"/>
      <c r="C57" s="242"/>
      <c r="D57" s="242"/>
      <c r="E57" s="242"/>
      <c r="F57" s="196"/>
      <c r="G57" s="139"/>
      <c r="H57" s="139"/>
      <c r="I57" s="139"/>
      <c r="J57" s="139"/>
      <c r="K57" s="139"/>
      <c r="L57" s="139"/>
      <c r="M57" s="139"/>
      <c r="N57" s="139"/>
      <c r="O57" s="139"/>
      <c r="P57" s="139"/>
      <c r="Q57" s="139"/>
      <c r="R57" s="139"/>
      <c r="S57" s="139"/>
    </row>
    <row r="58" spans="1:19" ht="15" thickTop="1" x14ac:dyDescent="0.3">
      <c r="A58" s="228" t="s">
        <v>14</v>
      </c>
      <c r="B58" s="50"/>
      <c r="C58" s="171" t="s">
        <v>19</v>
      </c>
      <c r="D58" s="172">
        <f>(C4*G4-(D4*E4))</f>
        <v>79.271368000000052</v>
      </c>
      <c r="E58" s="202" t="s">
        <v>71</v>
      </c>
      <c r="F58" s="177"/>
      <c r="G58" s="139"/>
      <c r="H58" s="139"/>
      <c r="I58" s="139"/>
      <c r="J58" s="139"/>
      <c r="K58" s="139"/>
      <c r="L58" s="139"/>
      <c r="M58" s="139"/>
      <c r="N58" s="139"/>
      <c r="O58" s="139"/>
      <c r="P58" s="139"/>
      <c r="Q58" s="139"/>
      <c r="R58" s="139"/>
      <c r="S58" s="139"/>
    </row>
    <row r="59" spans="1:19" x14ac:dyDescent="0.3">
      <c r="A59" s="251"/>
      <c r="B59" s="252"/>
      <c r="C59" s="171" t="s">
        <v>20</v>
      </c>
      <c r="D59" s="173">
        <f>((C4*H4-(D4)^2)*(C4*I4-(E4)^2))^0.5</f>
        <v>82.237633483773294</v>
      </c>
      <c r="E59" s="202" t="s">
        <v>71</v>
      </c>
      <c r="F59" s="177"/>
      <c r="G59" s="139"/>
      <c r="H59" s="139"/>
      <c r="I59" s="139"/>
      <c r="J59" s="139"/>
      <c r="K59" s="139"/>
      <c r="L59" s="139"/>
      <c r="M59" s="139"/>
      <c r="N59" s="139"/>
      <c r="O59" s="139"/>
      <c r="P59" s="139"/>
      <c r="Q59" s="139"/>
      <c r="R59" s="139"/>
      <c r="S59" s="139"/>
    </row>
    <row r="60" spans="1:19" x14ac:dyDescent="0.3">
      <c r="A60" s="175"/>
      <c r="B60" s="61"/>
      <c r="C60" s="277" t="s">
        <v>110</v>
      </c>
      <c r="D60" s="278"/>
      <c r="E60" s="182">
        <f>IF(EINGABEN!D46&lt;10,"Anzahl zu klein",ROUND((E61*(1+E64/100)),2))</f>
        <v>322.76</v>
      </c>
      <c r="F60" s="177"/>
      <c r="G60" s="139"/>
      <c r="H60" s="139"/>
      <c r="I60" s="139"/>
      <c r="J60" s="139"/>
      <c r="K60" s="139"/>
      <c r="L60" s="139"/>
      <c r="M60" s="139"/>
      <c r="N60" s="139"/>
      <c r="O60" s="139"/>
      <c r="P60" s="139"/>
      <c r="Q60" s="139"/>
      <c r="R60" s="139"/>
      <c r="S60" s="139"/>
    </row>
    <row r="61" spans="1:19" x14ac:dyDescent="0.3">
      <c r="A61" s="30" t="s">
        <v>15</v>
      </c>
      <c r="B61" s="187">
        <v>10</v>
      </c>
      <c r="C61" s="230" t="s">
        <v>16</v>
      </c>
      <c r="D61" s="50" t="s">
        <v>109</v>
      </c>
      <c r="E61" s="180">
        <f>IF(MIN(EINGABEN!C6:'EINGABEN'!C45)&lt;1,"keine Lösung",IF(C56=0,0,ROUND((C52*(LN(B61))^C54),2)))</f>
        <v>94.1</v>
      </c>
      <c r="F61" s="177"/>
      <c r="G61" s="139"/>
      <c r="H61" s="139"/>
      <c r="I61" s="139"/>
      <c r="J61" s="139"/>
      <c r="K61" s="139"/>
      <c r="L61" s="139"/>
      <c r="M61" s="139"/>
      <c r="N61" s="139"/>
      <c r="O61" s="139"/>
      <c r="P61" s="139"/>
      <c r="Q61" s="139"/>
      <c r="R61" s="139"/>
      <c r="S61" s="139"/>
    </row>
    <row r="62" spans="1:19" x14ac:dyDescent="0.3">
      <c r="A62" s="229" t="s">
        <v>63</v>
      </c>
      <c r="B62" s="50" t="s">
        <v>108</v>
      </c>
      <c r="C62" s="277" t="s">
        <v>111</v>
      </c>
      <c r="D62" s="278"/>
      <c r="E62" s="182">
        <f>IF(EINGABEN!D46&lt;10,"Anzahl zu klein",ROUND((E61*(1-E64/100)),2))</f>
        <v>-134.56</v>
      </c>
      <c r="F62" s="177"/>
      <c r="G62" s="139"/>
      <c r="H62" s="139"/>
      <c r="I62" s="139"/>
      <c r="J62" s="139"/>
      <c r="K62" s="139"/>
      <c r="L62" s="139"/>
      <c r="M62" s="139"/>
      <c r="N62" s="139"/>
      <c r="O62" s="139"/>
      <c r="P62" s="139"/>
      <c r="Q62" s="139"/>
      <c r="R62" s="139"/>
      <c r="S62" s="139"/>
    </row>
    <row r="63" spans="1:19" x14ac:dyDescent="0.3">
      <c r="A63" s="30" t="s">
        <v>17</v>
      </c>
      <c r="B63" s="187">
        <v>94.1</v>
      </c>
      <c r="C63" s="230" t="s">
        <v>16</v>
      </c>
      <c r="D63" s="195" t="s">
        <v>70</v>
      </c>
      <c r="E63" s="180">
        <f>IF(MIN(EINGABEN!C6:'EINGABEN'!C45)&lt;1,"keine Lösung",IF(C56=0,0,ROUND((2.71828183^((2.71828183^(((LN(B63/C52))/C54))))),2)))</f>
        <v>10</v>
      </c>
      <c r="F63" s="177"/>
      <c r="G63" s="139"/>
      <c r="H63" s="139"/>
      <c r="I63" s="139"/>
      <c r="J63" s="139"/>
      <c r="K63" s="139"/>
      <c r="L63" s="139"/>
      <c r="M63" s="139"/>
      <c r="N63" s="139"/>
      <c r="O63" s="139"/>
      <c r="P63" s="139"/>
      <c r="Q63" s="139"/>
      <c r="R63" s="139"/>
      <c r="S63" s="139"/>
    </row>
    <row r="64" spans="1:19" ht="15" thickBot="1" x14ac:dyDescent="0.35">
      <c r="A64" s="221" t="s">
        <v>133</v>
      </c>
      <c r="B64" s="205">
        <f>IF(MIN(EINGABEN!C6:'EINGABEN'!C45)&lt;1,"keine Lösung",IF(C56=0,0,ROUND((C52*(LN(1))^C54),2)))</f>
        <v>0</v>
      </c>
      <c r="C64" s="273" t="s">
        <v>119</v>
      </c>
      <c r="D64" s="273"/>
      <c r="E64" s="185">
        <f>IF(EINGABEN!D46&lt;10,"Anzahl zu klein",ROUND((((2.868009*(LN(LN(EINGABEN!D46)))^-2.421118)*M46)/L48)*100,0))</f>
        <v>243</v>
      </c>
      <c r="F64" s="196"/>
      <c r="G64" s="139"/>
      <c r="H64" s="139"/>
      <c r="I64" s="139"/>
      <c r="J64" s="139"/>
      <c r="K64" s="139"/>
      <c r="L64" s="139"/>
      <c r="M64" s="139"/>
      <c r="N64" s="139"/>
      <c r="O64" s="139"/>
      <c r="P64" s="139"/>
      <c r="Q64" s="139"/>
      <c r="R64" s="139"/>
      <c r="S64" s="139"/>
    </row>
    <row r="65" spans="3:19" ht="15" thickTop="1" x14ac:dyDescent="0.3">
      <c r="C65" s="213"/>
      <c r="D65" s="213"/>
      <c r="G65" s="139"/>
      <c r="H65" s="139"/>
      <c r="I65" s="139"/>
      <c r="J65" s="139"/>
      <c r="K65" s="139"/>
      <c r="L65" s="139"/>
      <c r="M65" s="139"/>
      <c r="N65" s="139"/>
      <c r="O65" s="139"/>
      <c r="P65" s="139"/>
      <c r="Q65" s="139"/>
      <c r="R65" s="139"/>
      <c r="S65" s="139"/>
    </row>
    <row r="66" spans="3:19" x14ac:dyDescent="0.3">
      <c r="C66" s="61"/>
      <c r="D66" s="61"/>
      <c r="G66" s="139"/>
      <c r="H66" s="139"/>
      <c r="I66" s="139"/>
      <c r="J66" s="139"/>
      <c r="K66" s="139"/>
      <c r="L66" s="139"/>
      <c r="M66" s="139"/>
      <c r="N66" s="139"/>
      <c r="O66" s="139"/>
      <c r="P66" s="139"/>
      <c r="Q66" s="139"/>
      <c r="R66" s="139"/>
      <c r="S66" s="139"/>
    </row>
  </sheetData>
  <sheetProtection algorithmName="SHA-512" hashValue="hHOD/JJ7WtiM+L40MjE9+MLWk/JQCu0UBNzJSdYvLtNBaZ25Yq6WFGTfvt2UjbXODylnIFivZ6jedJY+77p9Kw==" saltValue="Rp4amdZqo8WsGIHdeY/zrA==" spinCount="100000" sheet="1" objects="1" scenarios="1"/>
  <mergeCells count="3">
    <mergeCell ref="C60:D60"/>
    <mergeCell ref="C62:D62"/>
    <mergeCell ref="C64:D64"/>
  </mergeCells>
  <dataValidations count="3">
    <dataValidation showInputMessage="1" showErrorMessage="1" sqref="A6:A45 B6:B9" xr:uid="{00000000-0002-0000-0700-000000000000}"/>
    <dataValidation type="decimal" operator="greaterThanOrEqual" allowBlank="1" showInputMessage="1" showErrorMessage="1" sqref="B61" xr:uid="{6058F2B8-944F-4EC7-9A7D-F15BDC512846}">
      <formula1>1</formula1>
    </dataValidation>
    <dataValidation type="decimal" operator="greaterThan" allowBlank="1" showInputMessage="1" showErrorMessage="1" sqref="B63" xr:uid="{218E82E8-2054-45E3-BC3F-F989952F4BD6}">
      <formula1>B64</formula1>
    </dataValidation>
  </dataValidations>
  <pageMargins left="0.7" right="0.7" top="0.78740157499999996" bottom="0.78740157499999996" header="0.3" footer="0.3"/>
  <pageSetup paperSize="9" orientation="portrait" horizontalDpi="4294967293" verticalDpi="4294967293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U65"/>
  <sheetViews>
    <sheetView topLeftCell="A16" zoomScale="91" zoomScaleNormal="100" workbookViewId="0">
      <selection activeCell="B63" sqref="B63"/>
    </sheetView>
  </sheetViews>
  <sheetFormatPr baseColWidth="10" defaultRowHeight="14.4" x14ac:dyDescent="0.3"/>
  <cols>
    <col min="1" max="1" width="19.33203125" style="140" customWidth="1"/>
    <col min="2" max="2" width="15.44140625" style="140" customWidth="1"/>
    <col min="3" max="3" width="13.6640625" style="140" customWidth="1"/>
    <col min="4" max="4" width="14.21875" style="140" customWidth="1"/>
    <col min="5" max="5" width="13.77734375" style="140" customWidth="1"/>
    <col min="6" max="6" width="9.6640625" style="140" customWidth="1"/>
    <col min="7" max="7" width="13.6640625" style="140" customWidth="1"/>
    <col min="8" max="8" width="14.44140625" style="140" customWidth="1"/>
    <col min="9" max="9" width="18.6640625" style="140" customWidth="1"/>
    <col min="10" max="10" width="27.5546875" style="140" customWidth="1"/>
    <col min="11" max="11" width="38.44140625" style="140" customWidth="1"/>
    <col min="12" max="12" width="36.109375" style="140" customWidth="1"/>
    <col min="13" max="13" width="18.6640625" style="140" customWidth="1"/>
    <col min="14" max="14" width="12.44140625" style="140" customWidth="1"/>
    <col min="15" max="16384" width="11.5546875" style="140"/>
  </cols>
  <sheetData>
    <row r="1" spans="1:21" ht="18" x14ac:dyDescent="0.35">
      <c r="A1" s="215" t="s">
        <v>60</v>
      </c>
      <c r="B1" s="216"/>
      <c r="C1" s="216"/>
      <c r="D1" s="216"/>
      <c r="E1" s="216"/>
      <c r="F1" s="216"/>
      <c r="G1" s="216"/>
      <c r="H1" s="216"/>
      <c r="I1" s="217"/>
      <c r="J1" s="138"/>
      <c r="K1" s="138"/>
      <c r="L1" s="138"/>
      <c r="M1" s="138"/>
      <c r="N1" s="138"/>
      <c r="O1" s="138"/>
      <c r="P1" s="139"/>
      <c r="Q1" s="139"/>
      <c r="R1" s="139"/>
      <c r="S1" s="139"/>
      <c r="T1" s="139"/>
    </row>
    <row r="2" spans="1:21" x14ac:dyDescent="0.3">
      <c r="A2" s="141"/>
      <c r="B2" s="141"/>
      <c r="C2" s="261"/>
      <c r="D2" s="261"/>
      <c r="E2" s="261"/>
      <c r="F2" s="261"/>
      <c r="G2" s="261"/>
      <c r="H2" s="141"/>
      <c r="I2" s="137"/>
      <c r="J2" s="138"/>
      <c r="K2" s="138"/>
      <c r="L2" s="138"/>
      <c r="M2" s="138"/>
      <c r="N2" s="138"/>
      <c r="O2" s="138"/>
      <c r="P2" s="139"/>
      <c r="Q2" s="139"/>
      <c r="R2" s="139"/>
      <c r="S2" s="139"/>
      <c r="T2" s="139"/>
    </row>
    <row r="3" spans="1:21" x14ac:dyDescent="0.3">
      <c r="A3" s="141"/>
      <c r="B3" s="141"/>
      <c r="C3" s="141" t="s">
        <v>0</v>
      </c>
      <c r="D3" s="142" t="s">
        <v>1</v>
      </c>
      <c r="E3" s="141" t="s">
        <v>2</v>
      </c>
      <c r="F3" s="141" t="s">
        <v>21</v>
      </c>
      <c r="G3" s="141" t="s">
        <v>3</v>
      </c>
      <c r="H3" s="141" t="s">
        <v>4</v>
      </c>
      <c r="I3" s="141" t="s">
        <v>140</v>
      </c>
      <c r="J3" s="138"/>
      <c r="K3" s="138"/>
      <c r="L3" s="138"/>
      <c r="M3" s="138"/>
      <c r="N3" s="138"/>
      <c r="O3" s="138"/>
      <c r="P3" s="139"/>
      <c r="Q3" s="139"/>
      <c r="R3" s="139"/>
      <c r="S3" s="139"/>
      <c r="T3" s="139"/>
    </row>
    <row r="4" spans="1:21" x14ac:dyDescent="0.3">
      <c r="A4" s="269" t="s">
        <v>141</v>
      </c>
      <c r="B4" s="269"/>
      <c r="C4" s="141">
        <f>EINGABEN!$D$46</f>
        <v>10</v>
      </c>
      <c r="D4" s="141">
        <f>IF(MIN(A6:A45)&lt;1,0,ROUND(SUM(D6:D45),3))</f>
        <v>18.372</v>
      </c>
      <c r="E4" s="141">
        <f>ROUND(SUM(E6:E45),3)</f>
        <v>11.785</v>
      </c>
      <c r="F4" s="143" t="s">
        <v>22</v>
      </c>
      <c r="G4" s="141">
        <f>IF(MIN(A6:A45)&lt;1,0,ROUND(SUM(G6:G45),3))</f>
        <v>25.614000000000001</v>
      </c>
      <c r="H4" s="141">
        <f>IF(MIN(A6:A45)&lt;1,0,ROUND(SUM(H6:H45),3))</f>
        <v>39.073999999999998</v>
      </c>
      <c r="I4" s="141">
        <f>ROUND(SUM(I6:I45),3)</f>
        <v>17.065999999999999</v>
      </c>
      <c r="J4" s="138"/>
      <c r="K4" s="138"/>
      <c r="L4" s="138"/>
      <c r="M4" s="138"/>
      <c r="N4" s="138"/>
      <c r="O4" s="138"/>
      <c r="P4" s="139"/>
      <c r="Q4" s="139"/>
      <c r="R4" s="139"/>
      <c r="S4" s="139"/>
      <c r="T4" s="139"/>
    </row>
    <row r="5" spans="1:21" x14ac:dyDescent="0.3">
      <c r="A5" s="141" t="s">
        <v>8</v>
      </c>
      <c r="B5" s="141" t="s">
        <v>9</v>
      </c>
      <c r="C5" s="141" t="s">
        <v>38</v>
      </c>
      <c r="D5" s="141" t="s">
        <v>5</v>
      </c>
      <c r="E5" s="141" t="s">
        <v>6</v>
      </c>
      <c r="F5" s="141" t="s">
        <v>23</v>
      </c>
      <c r="G5" s="141" t="s">
        <v>10</v>
      </c>
      <c r="H5" s="141" t="s">
        <v>7</v>
      </c>
      <c r="I5" s="142" t="s">
        <v>18</v>
      </c>
      <c r="J5" s="138" t="s">
        <v>114</v>
      </c>
      <c r="K5" s="138" t="s">
        <v>112</v>
      </c>
      <c r="L5" s="138" t="s">
        <v>113</v>
      </c>
      <c r="M5" s="138" t="s">
        <v>115</v>
      </c>
      <c r="N5" s="138"/>
      <c r="O5" s="138"/>
      <c r="P5" s="139"/>
      <c r="Q5" s="139"/>
      <c r="R5" s="139"/>
      <c r="S5" s="139"/>
      <c r="T5" s="139"/>
    </row>
    <row r="6" spans="1:21" x14ac:dyDescent="0.3">
      <c r="A6" s="141">
        <f>EINGABEN!B6</f>
        <v>8</v>
      </c>
      <c r="B6" s="141">
        <f>EINGABEN!F6</f>
        <v>64</v>
      </c>
      <c r="C6" s="141"/>
      <c r="D6" s="141">
        <f>((LN(A6+0.00000001)))</f>
        <v>2.0794415429298359</v>
      </c>
      <c r="E6" s="141">
        <f>(LN((LN(B6+0.000000001))))</f>
        <v>1.4252465486501478</v>
      </c>
      <c r="F6" s="143">
        <f>(LN(((LN((2.7182813^(C52*((A6)^C54))))))))</f>
        <v>1.3589004713727439</v>
      </c>
      <c r="G6" s="141">
        <f t="shared" ref="G6:G45" si="0">(D6*E6)</f>
        <v>2.9637168821804867</v>
      </c>
      <c r="H6" s="141">
        <f t="shared" ref="H6:I45" si="1">(D6)^2</f>
        <v>4.3240771304624159</v>
      </c>
      <c r="I6" s="141">
        <f t="shared" si="1"/>
        <v>2.0313277244391581</v>
      </c>
      <c r="J6" s="138">
        <f>IF(EINGABEN!C6="","",EINGABEN!C6)</f>
        <v>8</v>
      </c>
      <c r="K6" s="138">
        <f>IF(J6="","",B6)</f>
        <v>64</v>
      </c>
      <c r="L6" s="138">
        <f>IF(J6="","",(EXP($C$52*J6^$C$54)))</f>
        <v>49.004514996943335</v>
      </c>
      <c r="M6" s="138">
        <f>IF(K6="","",(K6-L6)^2)</f>
        <v>224.86457047689734</v>
      </c>
      <c r="N6" s="138"/>
      <c r="O6" s="138"/>
      <c r="P6" s="139"/>
      <c r="Q6" s="139"/>
      <c r="R6" s="139"/>
      <c r="S6" s="139"/>
      <c r="T6" s="139"/>
    </row>
    <row r="7" spans="1:21" x14ac:dyDescent="0.3">
      <c r="A7" s="141">
        <f>EINGABEN!B7</f>
        <v>7</v>
      </c>
      <c r="B7" s="141">
        <f>EINGABEN!F7</f>
        <v>49</v>
      </c>
      <c r="C7" s="141"/>
      <c r="D7" s="141">
        <f t="shared" ref="D7:D45" si="2">((LN(A7+0.00000001)))</f>
        <v>1.9459101504838847</v>
      </c>
      <c r="E7" s="141">
        <f t="shared" ref="E7:E45" si="3">(LN((LN(B7+0.000000001))))</f>
        <v>1.3588769911434655</v>
      </c>
      <c r="F7" s="143">
        <f>(LN(((LN((2.7182813^(C52*((A7)^C54))))))))</f>
        <v>1.2594576403143727</v>
      </c>
      <c r="G7" s="141">
        <f t="shared" si="0"/>
        <v>2.6442525303250695</v>
      </c>
      <c r="H7" s="141">
        <f t="shared" si="1"/>
        <v>3.7865663137562149</v>
      </c>
      <c r="I7" s="141">
        <f t="shared" si="1"/>
        <v>1.8465466770591179</v>
      </c>
      <c r="J7" s="138">
        <f>IF(EINGABEN!C7="","",EINGABEN!C7)</f>
        <v>7</v>
      </c>
      <c r="K7" s="253">
        <f t="shared" ref="K7:K45" si="4">IF(J7="","",B7)</f>
        <v>49</v>
      </c>
      <c r="L7" s="138">
        <f t="shared" ref="L7:L45" si="5">IF(J7="","",(EXP($C$52*J7^$C$54)))</f>
        <v>33.903242008866144</v>
      </c>
      <c r="M7" s="138">
        <f t="shared" ref="M7:M45" si="6">IF(K7="","",(K7-L7)^2)</f>
        <v>227.91210184286393</v>
      </c>
      <c r="N7" s="138"/>
      <c r="O7" s="138"/>
      <c r="P7" s="139"/>
      <c r="Q7" s="139"/>
      <c r="R7" s="139"/>
      <c r="S7" s="139"/>
      <c r="T7" s="139"/>
    </row>
    <row r="8" spans="1:21" ht="15" thickBot="1" x14ac:dyDescent="0.35">
      <c r="A8" s="141">
        <f>EINGABEN!B8</f>
        <v>4</v>
      </c>
      <c r="B8" s="218">
        <f>EINGABEN!F8</f>
        <v>16</v>
      </c>
      <c r="C8" s="141"/>
      <c r="D8" s="141">
        <f t="shared" si="2"/>
        <v>1.3862943636198906</v>
      </c>
      <c r="E8" s="141">
        <f t="shared" si="3"/>
        <v>1.0197814405607684</v>
      </c>
      <c r="F8" s="143">
        <f>(LN(((LN((2.7182813^(C52*((A8)^C54))))))))</f>
        <v>0.84270336880204422</v>
      </c>
      <c r="G8" s="141">
        <f t="shared" si="0"/>
        <v>1.4137172631735657</v>
      </c>
      <c r="H8" s="141">
        <f t="shared" si="1"/>
        <v>1.9218120626042774</v>
      </c>
      <c r="I8" s="141">
        <f t="shared" si="1"/>
        <v>1.039954186512196</v>
      </c>
      <c r="J8" s="138">
        <f>IF(EINGABEN!C8="","",EINGABEN!C8)</f>
        <v>4</v>
      </c>
      <c r="K8" s="253">
        <f t="shared" si="4"/>
        <v>16</v>
      </c>
      <c r="L8" s="138">
        <f t="shared" si="5"/>
        <v>10.202552095291981</v>
      </c>
      <c r="M8" s="138">
        <f t="shared" si="6"/>
        <v>33.610402207803396</v>
      </c>
      <c r="N8" s="138"/>
      <c r="O8" s="138"/>
      <c r="P8" s="139"/>
      <c r="Q8" s="139"/>
      <c r="R8" s="139"/>
      <c r="S8" s="139"/>
      <c r="T8" s="139"/>
    </row>
    <row r="9" spans="1:21" ht="15.6" thickTop="1" thickBot="1" x14ac:dyDescent="0.35">
      <c r="A9" s="141">
        <f>EINGABEN!B9</f>
        <v>2.5</v>
      </c>
      <c r="B9" s="141">
        <f>EINGABEN!F9</f>
        <v>6.25</v>
      </c>
      <c r="C9" s="141"/>
      <c r="D9" s="141">
        <f t="shared" si="2"/>
        <v>0.91629073587415499</v>
      </c>
      <c r="E9" s="141">
        <f t="shared" si="3"/>
        <v>0.60572560885649884</v>
      </c>
      <c r="F9" s="143">
        <f>(LN(((LN((2.7182813^(C52*((A9)^C54))))))))</f>
        <v>0.49268461604830621</v>
      </c>
      <c r="G9" s="141">
        <f t="shared" si="0"/>
        <v>0.55502076387694188</v>
      </c>
      <c r="H9" s="141">
        <f t="shared" si="1"/>
        <v>0.83958871264880042</v>
      </c>
      <c r="I9" s="141">
        <f t="shared" si="1"/>
        <v>0.36690351322457621</v>
      </c>
      <c r="J9" s="138">
        <f>IF(EINGABEN!C9="","",EINGABEN!C9)</f>
        <v>2.5</v>
      </c>
      <c r="K9" s="253">
        <f t="shared" si="4"/>
        <v>6.25</v>
      </c>
      <c r="L9" s="138">
        <f t="shared" si="5"/>
        <v>5.1382089627544953</v>
      </c>
      <c r="M9" s="138">
        <f t="shared" si="6"/>
        <v>1.2360793104994352</v>
      </c>
      <c r="N9" s="138"/>
      <c r="O9" s="138"/>
      <c r="P9" s="254"/>
      <c r="Q9" s="139"/>
      <c r="R9" s="139"/>
      <c r="S9" s="139"/>
      <c r="T9" s="139"/>
    </row>
    <row r="10" spans="1:21" ht="15" thickTop="1" x14ac:dyDescent="0.3">
      <c r="A10" s="141">
        <f>EINGABEN!B10</f>
        <v>4.5</v>
      </c>
      <c r="B10" s="262">
        <f>EINGABEN!F10</f>
        <v>20.25</v>
      </c>
      <c r="C10" s="141"/>
      <c r="D10" s="141">
        <f t="shared" si="2"/>
        <v>1.5040773989984964</v>
      </c>
      <c r="E10" s="141">
        <f t="shared" si="3"/>
        <v>1.1013268654024799</v>
      </c>
      <c r="F10" s="143">
        <f>(LN(((LN((2.7182813^(C52*((A10)^C54))))))))</f>
        <v>0.93041816220088791</v>
      </c>
      <c r="G10" s="141">
        <f t="shared" si="0"/>
        <v>1.6564808471617292</v>
      </c>
      <c r="H10" s="141">
        <f t="shared" si="1"/>
        <v>2.2622488221780821</v>
      </c>
      <c r="I10" s="141">
        <f t="shared" si="1"/>
        <v>1.2129208644572522</v>
      </c>
      <c r="J10" s="138">
        <f>IF(EINGABEN!C10="","",EINGABEN!C10)</f>
        <v>4.5</v>
      </c>
      <c r="K10" s="253">
        <f t="shared" si="4"/>
        <v>20.25</v>
      </c>
      <c r="L10" s="138">
        <f t="shared" si="5"/>
        <v>12.623620831368614</v>
      </c>
      <c r="M10" s="138">
        <f t="shared" si="6"/>
        <v>58.161659223734752</v>
      </c>
      <c r="N10" s="138"/>
      <c r="O10" s="138"/>
      <c r="P10" s="139"/>
      <c r="Q10" s="139"/>
      <c r="R10" s="139"/>
      <c r="S10" s="139"/>
      <c r="T10" s="139"/>
    </row>
    <row r="11" spans="1:21" x14ac:dyDescent="0.3">
      <c r="A11" s="141">
        <f>EINGABEN!B11</f>
        <v>10</v>
      </c>
      <c r="B11" s="262">
        <f>EINGABEN!F11</f>
        <v>100</v>
      </c>
      <c r="C11" s="141"/>
      <c r="D11" s="141">
        <f t="shared" si="2"/>
        <v>2.302585093994046</v>
      </c>
      <c r="E11" s="141">
        <f t="shared" si="3"/>
        <v>1.5271796258100727</v>
      </c>
      <c r="F11" s="143">
        <f>(LN(((LN((2.7182813^(C52*((A11)^C54))))))))</f>
        <v>1.5250788211897057</v>
      </c>
      <c r="G11" s="141">
        <f t="shared" si="0"/>
        <v>3.5164610422416782</v>
      </c>
      <c r="H11" s="141">
        <f t="shared" si="1"/>
        <v>5.3018981150835698</v>
      </c>
      <c r="I11" s="141">
        <f t="shared" si="1"/>
        <v>2.3322776094893936</v>
      </c>
      <c r="J11" s="138">
        <f>IF(EINGABEN!C11="","",EINGABEN!C11)</f>
        <v>10</v>
      </c>
      <c r="K11" s="255">
        <f t="shared" si="4"/>
        <v>100</v>
      </c>
      <c r="L11" s="138">
        <f t="shared" si="5"/>
        <v>99.038302740018992</v>
      </c>
      <c r="M11" s="138">
        <f t="shared" si="6"/>
        <v>0.92486161985497906</v>
      </c>
      <c r="N11" s="138"/>
      <c r="O11" s="138"/>
      <c r="P11" s="139"/>
      <c r="Q11" s="139"/>
      <c r="R11" s="139"/>
      <c r="S11" s="139"/>
      <c r="T11" s="139"/>
    </row>
    <row r="12" spans="1:21" x14ac:dyDescent="0.3">
      <c r="A12" s="141">
        <f>EINGABEN!B12</f>
        <v>12</v>
      </c>
      <c r="B12" s="262">
        <f>EINGABEN!F12</f>
        <v>144</v>
      </c>
      <c r="C12" s="141"/>
      <c r="D12" s="141">
        <f t="shared" si="2"/>
        <v>2.4849066506213338</v>
      </c>
      <c r="E12" s="141">
        <f t="shared" si="3"/>
        <v>1.6033822739266685</v>
      </c>
      <c r="F12" s="143">
        <f>(LN(((LN((2.7182813^(C52*((A12)^C54))))))))</f>
        <v>1.6608564193575155</v>
      </c>
      <c r="G12" s="141">
        <f t="shared" si="0"/>
        <v>3.984255275968736</v>
      </c>
      <c r="H12" s="141">
        <f t="shared" si="1"/>
        <v>6.1747610623021352</v>
      </c>
      <c r="I12" s="141">
        <f t="shared" si="1"/>
        <v>2.5708347163422545</v>
      </c>
      <c r="J12" s="138">
        <f>IF(EINGABEN!C12="","",EINGABEN!C12)</f>
        <v>12</v>
      </c>
      <c r="K12" s="253">
        <f t="shared" si="4"/>
        <v>144</v>
      </c>
      <c r="L12" s="138">
        <f t="shared" si="5"/>
        <v>193.21778505243347</v>
      </c>
      <c r="M12" s="138">
        <f t="shared" si="6"/>
        <v>2422.3903654675437</v>
      </c>
      <c r="N12" s="138"/>
      <c r="O12" s="138"/>
      <c r="P12" s="139"/>
      <c r="Q12" s="139"/>
      <c r="R12" s="139"/>
      <c r="S12" s="139"/>
      <c r="T12" s="139"/>
    </row>
    <row r="13" spans="1:21" x14ac:dyDescent="0.3">
      <c r="A13" s="141">
        <f>EINGABEN!B13</f>
        <v>15</v>
      </c>
      <c r="B13" s="262">
        <f>EINGABEN!F13</f>
        <v>225</v>
      </c>
      <c r="C13" s="141"/>
      <c r="D13" s="141">
        <f t="shared" si="2"/>
        <v>2.7080502017688768</v>
      </c>
      <c r="E13" s="141">
        <f t="shared" si="3"/>
        <v>1.6893760735121608</v>
      </c>
      <c r="F13" s="143">
        <f>(LN(((LN((2.7182813^(C52*((A13)^C54))))))))</f>
        <v>1.8270347691744775</v>
      </c>
      <c r="G13" s="141">
        <f t="shared" si="0"/>
        <v>4.5749152167381197</v>
      </c>
      <c r="H13" s="141">
        <f t="shared" si="1"/>
        <v>7.3335358953004546</v>
      </c>
      <c r="I13" s="141">
        <f t="shared" si="1"/>
        <v>2.8539915177553659</v>
      </c>
      <c r="J13" s="138">
        <f>IF(EINGABEN!C13="","",EINGABEN!C13)</f>
        <v>15</v>
      </c>
      <c r="K13" s="253">
        <f t="shared" si="4"/>
        <v>225</v>
      </c>
      <c r="L13" s="138">
        <f t="shared" si="5"/>
        <v>500.41128631640231</v>
      </c>
      <c r="M13" s="138">
        <f t="shared" si="6"/>
        <v>75851.376630455328</v>
      </c>
      <c r="N13" s="138"/>
      <c r="O13" s="138"/>
      <c r="P13" s="139"/>
      <c r="Q13" s="139"/>
      <c r="R13" s="139"/>
      <c r="S13" s="139"/>
      <c r="T13" s="139"/>
    </row>
    <row r="14" spans="1:21" x14ac:dyDescent="0.3">
      <c r="A14" s="141">
        <f>EINGABEN!B14</f>
        <v>1.5</v>
      </c>
      <c r="B14" s="262">
        <f>EINGABEN!F14</f>
        <v>2.25</v>
      </c>
      <c r="C14" s="141"/>
      <c r="D14" s="141">
        <f t="shared" si="2"/>
        <v>0.40546511477483099</v>
      </c>
      <c r="E14" s="141">
        <f t="shared" si="3"/>
        <v>-0.20957327460986719</v>
      </c>
      <c r="F14" s="143">
        <f>(LN(((LN((2.7182813^(C52*((A14)^C54))))))))</f>
        <v>0.11226511164541668</v>
      </c>
      <c r="G14" s="141">
        <f t="shared" si="0"/>
        <v>-8.4974651843426979E-2</v>
      </c>
      <c r="H14" s="141">
        <f t="shared" si="1"/>
        <v>0.16440195929936688</v>
      </c>
      <c r="I14" s="141">
        <f t="shared" si="1"/>
        <v>4.3920957430702803E-2</v>
      </c>
      <c r="J14" s="138">
        <f>IF(EINGABEN!C14="","",EINGABEN!C14)</f>
        <v>1.5</v>
      </c>
      <c r="K14" s="233">
        <f t="shared" si="4"/>
        <v>2.25</v>
      </c>
      <c r="L14" s="138">
        <f t="shared" si="5"/>
        <v>3.0612081192119587</v>
      </c>
      <c r="M14" s="138">
        <f t="shared" si="6"/>
        <v>0.65805861267540333</v>
      </c>
      <c r="N14" s="138"/>
      <c r="O14" s="138"/>
      <c r="P14" s="139"/>
      <c r="Q14" s="139"/>
      <c r="R14" s="139"/>
      <c r="S14" s="139"/>
      <c r="T14" s="139"/>
    </row>
    <row r="15" spans="1:21" ht="15" thickBot="1" x14ac:dyDescent="0.35">
      <c r="A15" s="145">
        <f>EINGABEN!B15</f>
        <v>14</v>
      </c>
      <c r="B15" s="189">
        <f>EINGABEN!F15</f>
        <v>196</v>
      </c>
      <c r="C15" s="145"/>
      <c r="D15" s="145">
        <f t="shared" si="2"/>
        <v>2.6390573303295444</v>
      </c>
      <c r="E15" s="145">
        <f t="shared" si="3"/>
        <v>1.663568961838277</v>
      </c>
      <c r="F15" s="146">
        <f>(LN(((LN((2.7182813^(C52*((A15)^C54))))))))</f>
        <v>1.7756547428850722</v>
      </c>
      <c r="G15" s="141">
        <f t="shared" si="0"/>
        <v>4.3902538632480148</v>
      </c>
      <c r="H15" s="141">
        <f t="shared" si="1"/>
        <v>6.9646235927661015</v>
      </c>
      <c r="I15" s="141">
        <f t="shared" si="1"/>
        <v>2.7674616907916825</v>
      </c>
      <c r="J15" s="138">
        <f>IF(EINGABEN!C15="","",EINGABEN!C15)</f>
        <v>14</v>
      </c>
      <c r="K15" s="253">
        <f t="shared" si="4"/>
        <v>196</v>
      </c>
      <c r="L15" s="138">
        <f t="shared" si="5"/>
        <v>366.55431744583797</v>
      </c>
      <c r="M15" s="138">
        <f t="shared" si="6"/>
        <v>29088.775199415668</v>
      </c>
      <c r="N15" s="138"/>
      <c r="O15" s="138"/>
      <c r="P15" s="139"/>
      <c r="Q15" s="139"/>
      <c r="R15" s="139"/>
      <c r="S15" s="139"/>
      <c r="T15" s="139"/>
    </row>
    <row r="16" spans="1:21" ht="15" thickTop="1" x14ac:dyDescent="0.3">
      <c r="A16" s="147">
        <f>EINGABEN!B16</f>
        <v>1</v>
      </c>
      <c r="B16" s="191">
        <f>EINGABEN!F16</f>
        <v>2.7182818284590451</v>
      </c>
      <c r="C16" s="148"/>
      <c r="D16" s="148">
        <f t="shared" si="2"/>
        <v>9.9999998892252911E-9</v>
      </c>
      <c r="E16" s="148">
        <f t="shared" si="3"/>
        <v>3.6787950456923556E-10</v>
      </c>
      <c r="F16" s="236">
        <f>(LN(((LN((2.7182813^(C52*((A16)^C54))))))))</f>
        <v>-0.18969083633935502</v>
      </c>
      <c r="G16" s="141">
        <f t="shared" si="0"/>
        <v>3.6787950049406106E-18</v>
      </c>
      <c r="H16" s="141">
        <f t="shared" si="1"/>
        <v>9.9999997784505839E-17</v>
      </c>
      <c r="I16" s="141">
        <f t="shared" si="1"/>
        <v>1.353353298821062E-19</v>
      </c>
      <c r="J16" s="138" t="str">
        <f>IF(EINGABEN!C16="","",EINGABEN!C16)</f>
        <v/>
      </c>
      <c r="K16" s="253" t="str">
        <f t="shared" si="4"/>
        <v/>
      </c>
      <c r="L16" s="138" t="str">
        <f t="shared" si="5"/>
        <v/>
      </c>
      <c r="M16" s="138" t="str">
        <f t="shared" si="6"/>
        <v/>
      </c>
      <c r="N16" s="138"/>
      <c r="O16" s="138"/>
      <c r="P16" s="139"/>
      <c r="Q16" s="139"/>
      <c r="R16" s="139"/>
      <c r="S16" s="139"/>
      <c r="T16" s="139"/>
      <c r="U16" s="139"/>
    </row>
    <row r="17" spans="1:21" x14ac:dyDescent="0.3">
      <c r="A17" s="150">
        <f>EINGABEN!B17</f>
        <v>1</v>
      </c>
      <c r="B17" s="170">
        <f>EINGABEN!F17</f>
        <v>2.7182818284590451</v>
      </c>
      <c r="C17" s="106"/>
      <c r="D17" s="106">
        <f t="shared" si="2"/>
        <v>9.9999998892252911E-9</v>
      </c>
      <c r="E17" s="106">
        <f t="shared" si="3"/>
        <v>3.6787950456923556E-10</v>
      </c>
      <c r="F17" s="237">
        <f>(LN(((LN((2.7182813^(C52*((A17)^C54))))))))</f>
        <v>-0.18969083633935502</v>
      </c>
      <c r="G17" s="141">
        <f t="shared" si="0"/>
        <v>3.6787950049406106E-18</v>
      </c>
      <c r="H17" s="141">
        <f t="shared" si="1"/>
        <v>9.9999997784505839E-17</v>
      </c>
      <c r="I17" s="141">
        <f t="shared" si="1"/>
        <v>1.353353298821062E-19</v>
      </c>
      <c r="J17" s="138" t="str">
        <f>IF(EINGABEN!C17="","",EINGABEN!C17)</f>
        <v/>
      </c>
      <c r="K17" s="253" t="str">
        <f t="shared" si="4"/>
        <v/>
      </c>
      <c r="L17" s="138" t="str">
        <f t="shared" si="5"/>
        <v/>
      </c>
      <c r="M17" s="138" t="str">
        <f t="shared" si="6"/>
        <v/>
      </c>
      <c r="N17" s="138"/>
      <c r="O17" s="138"/>
      <c r="P17" s="139"/>
      <c r="Q17" s="139"/>
      <c r="R17" s="139"/>
      <c r="S17" s="139"/>
      <c r="T17" s="139"/>
      <c r="U17" s="139"/>
    </row>
    <row r="18" spans="1:21" x14ac:dyDescent="0.3">
      <c r="A18" s="150">
        <f>EINGABEN!B18</f>
        <v>1</v>
      </c>
      <c r="B18" s="170">
        <f>EINGABEN!F18</f>
        <v>2.7182818284590451</v>
      </c>
      <c r="C18" s="106"/>
      <c r="D18" s="106">
        <f t="shared" si="2"/>
        <v>9.9999998892252911E-9</v>
      </c>
      <c r="E18" s="106">
        <f t="shared" si="3"/>
        <v>3.6787950456923556E-10</v>
      </c>
      <c r="F18" s="237">
        <f>(LN(((LN((2.7182813^(C52*((A18)^C54))))))))</f>
        <v>-0.18969083633935502</v>
      </c>
      <c r="G18" s="141">
        <f t="shared" si="0"/>
        <v>3.6787950049406106E-18</v>
      </c>
      <c r="H18" s="141">
        <f t="shared" si="1"/>
        <v>9.9999997784505839E-17</v>
      </c>
      <c r="I18" s="141">
        <f t="shared" si="1"/>
        <v>1.353353298821062E-19</v>
      </c>
      <c r="J18" s="138" t="str">
        <f>IF(EINGABEN!C18="","",EINGABEN!C18)</f>
        <v/>
      </c>
      <c r="K18" s="253" t="str">
        <f t="shared" si="4"/>
        <v/>
      </c>
      <c r="L18" s="138" t="str">
        <f t="shared" si="5"/>
        <v/>
      </c>
      <c r="M18" s="138" t="str">
        <f t="shared" si="6"/>
        <v/>
      </c>
      <c r="N18" s="138"/>
      <c r="O18" s="138"/>
      <c r="P18" s="139"/>
      <c r="Q18" s="139"/>
      <c r="R18" s="139"/>
      <c r="S18" s="139"/>
      <c r="T18" s="139"/>
      <c r="U18" s="139"/>
    </row>
    <row r="19" spans="1:21" x14ac:dyDescent="0.3">
      <c r="A19" s="150">
        <f>EINGABEN!B19</f>
        <v>1</v>
      </c>
      <c r="B19" s="170">
        <f>EINGABEN!F19</f>
        <v>2.7182818284590451</v>
      </c>
      <c r="C19" s="106"/>
      <c r="D19" s="106">
        <f t="shared" si="2"/>
        <v>9.9999998892252911E-9</v>
      </c>
      <c r="E19" s="106">
        <f t="shared" si="3"/>
        <v>3.6787950456923556E-10</v>
      </c>
      <c r="F19" s="237">
        <f>(LN(((LN((2.7182813^(C52*((A19)^C54))))))))</f>
        <v>-0.18969083633935502</v>
      </c>
      <c r="G19" s="141">
        <f t="shared" si="0"/>
        <v>3.6787950049406106E-18</v>
      </c>
      <c r="H19" s="141">
        <f t="shared" si="1"/>
        <v>9.9999997784505839E-17</v>
      </c>
      <c r="I19" s="141">
        <f t="shared" si="1"/>
        <v>1.353353298821062E-19</v>
      </c>
      <c r="J19" s="138" t="str">
        <f>IF(EINGABEN!C19="","",EINGABEN!C19)</f>
        <v/>
      </c>
      <c r="K19" s="253" t="str">
        <f t="shared" si="4"/>
        <v/>
      </c>
      <c r="L19" s="138" t="str">
        <f t="shared" si="5"/>
        <v/>
      </c>
      <c r="M19" s="138" t="str">
        <f t="shared" si="6"/>
        <v/>
      </c>
      <c r="N19" s="138"/>
      <c r="O19" s="138"/>
      <c r="P19" s="139"/>
      <c r="Q19" s="139"/>
      <c r="R19" s="139"/>
      <c r="S19" s="139"/>
      <c r="T19" s="139"/>
      <c r="U19" s="139"/>
    </row>
    <row r="20" spans="1:21" x14ac:dyDescent="0.3">
      <c r="A20" s="150">
        <f>EINGABEN!B20</f>
        <v>1</v>
      </c>
      <c r="B20" s="170">
        <f>EINGABEN!F20</f>
        <v>2.7182818284590451</v>
      </c>
      <c r="C20" s="106"/>
      <c r="D20" s="106">
        <f t="shared" si="2"/>
        <v>9.9999998892252911E-9</v>
      </c>
      <c r="E20" s="106">
        <f t="shared" si="3"/>
        <v>3.6787950456923556E-10</v>
      </c>
      <c r="F20" s="237">
        <f>(LN(((LN((2.7182813^(C52*((A20)^C54))))))))</f>
        <v>-0.18969083633935502</v>
      </c>
      <c r="G20" s="141">
        <f t="shared" si="0"/>
        <v>3.6787950049406106E-18</v>
      </c>
      <c r="H20" s="141">
        <f t="shared" si="1"/>
        <v>9.9999997784505839E-17</v>
      </c>
      <c r="I20" s="141">
        <f t="shared" si="1"/>
        <v>1.353353298821062E-19</v>
      </c>
      <c r="J20" s="138" t="str">
        <f>IF(EINGABEN!C20="","",EINGABEN!C20)</f>
        <v/>
      </c>
      <c r="K20" s="253" t="str">
        <f t="shared" si="4"/>
        <v/>
      </c>
      <c r="L20" s="138" t="str">
        <f t="shared" si="5"/>
        <v/>
      </c>
      <c r="M20" s="138" t="str">
        <f t="shared" si="6"/>
        <v/>
      </c>
      <c r="N20" s="138"/>
      <c r="O20" s="138"/>
      <c r="P20" s="139"/>
      <c r="Q20" s="139"/>
      <c r="R20" s="139"/>
      <c r="S20" s="139"/>
      <c r="T20" s="139"/>
      <c r="U20" s="139"/>
    </row>
    <row r="21" spans="1:21" x14ac:dyDescent="0.3">
      <c r="A21" s="150">
        <f>EINGABEN!B21</f>
        <v>1</v>
      </c>
      <c r="B21" s="170">
        <f>EINGABEN!F21</f>
        <v>2.7182818284590451</v>
      </c>
      <c r="C21" s="106"/>
      <c r="D21" s="106">
        <f t="shared" si="2"/>
        <v>9.9999998892252911E-9</v>
      </c>
      <c r="E21" s="106">
        <f t="shared" si="3"/>
        <v>3.6787950456923556E-10</v>
      </c>
      <c r="F21" s="237">
        <f>(LN(((LN((2.7182813^(C52*((A21)^C54))))))))</f>
        <v>-0.18969083633935502</v>
      </c>
      <c r="G21" s="141">
        <f t="shared" si="0"/>
        <v>3.6787950049406106E-18</v>
      </c>
      <c r="H21" s="141">
        <f t="shared" si="1"/>
        <v>9.9999997784505839E-17</v>
      </c>
      <c r="I21" s="141">
        <f t="shared" si="1"/>
        <v>1.353353298821062E-19</v>
      </c>
      <c r="J21" s="138" t="str">
        <f>IF(EINGABEN!C21="","",EINGABEN!C21)</f>
        <v/>
      </c>
      <c r="K21" s="253" t="str">
        <f t="shared" si="4"/>
        <v/>
      </c>
      <c r="L21" s="138" t="str">
        <f t="shared" si="5"/>
        <v/>
      </c>
      <c r="M21" s="138" t="str">
        <f t="shared" si="6"/>
        <v/>
      </c>
      <c r="N21" s="138"/>
      <c r="O21" s="138"/>
      <c r="P21" s="139"/>
      <c r="Q21" s="139"/>
      <c r="R21" s="139"/>
      <c r="S21" s="139"/>
      <c r="T21" s="139"/>
      <c r="U21" s="139"/>
    </row>
    <row r="22" spans="1:21" x14ac:dyDescent="0.3">
      <c r="A22" s="150">
        <f>EINGABEN!B22</f>
        <v>1</v>
      </c>
      <c r="B22" s="170">
        <f>EINGABEN!F22</f>
        <v>2.7182818284590451</v>
      </c>
      <c r="C22" s="106"/>
      <c r="D22" s="106">
        <f t="shared" si="2"/>
        <v>9.9999998892252911E-9</v>
      </c>
      <c r="E22" s="106">
        <f t="shared" si="3"/>
        <v>3.6787950456923556E-10</v>
      </c>
      <c r="F22" s="237">
        <f>(LN(((LN((2.7182813^(C52*((A22)^C54))))))))</f>
        <v>-0.18969083633935502</v>
      </c>
      <c r="G22" s="141">
        <f t="shared" si="0"/>
        <v>3.6787950049406106E-18</v>
      </c>
      <c r="H22" s="141">
        <f t="shared" si="1"/>
        <v>9.9999997784505839E-17</v>
      </c>
      <c r="I22" s="141">
        <f t="shared" si="1"/>
        <v>1.353353298821062E-19</v>
      </c>
      <c r="J22" s="138" t="str">
        <f>IF(EINGABEN!C22="","",EINGABEN!C22)</f>
        <v/>
      </c>
      <c r="K22" s="253" t="str">
        <f t="shared" si="4"/>
        <v/>
      </c>
      <c r="L22" s="138" t="str">
        <f t="shared" si="5"/>
        <v/>
      </c>
      <c r="M22" s="138" t="str">
        <f t="shared" si="6"/>
        <v/>
      </c>
      <c r="N22" s="138"/>
      <c r="O22" s="138"/>
      <c r="P22" s="139"/>
      <c r="Q22" s="139"/>
      <c r="R22" s="139"/>
      <c r="S22" s="139"/>
      <c r="T22" s="139"/>
      <c r="U22" s="139"/>
    </row>
    <row r="23" spans="1:21" x14ac:dyDescent="0.3">
      <c r="A23" s="150">
        <f>EINGABEN!B23</f>
        <v>1</v>
      </c>
      <c r="B23" s="170">
        <f>EINGABEN!F23</f>
        <v>2.7182818284590451</v>
      </c>
      <c r="C23" s="106"/>
      <c r="D23" s="106">
        <f t="shared" si="2"/>
        <v>9.9999998892252911E-9</v>
      </c>
      <c r="E23" s="106">
        <f t="shared" si="3"/>
        <v>3.6787950456923556E-10</v>
      </c>
      <c r="F23" s="237">
        <f>(LN(((LN((2.7182813^(C52*((A23)^C54))))))))</f>
        <v>-0.18969083633935502</v>
      </c>
      <c r="G23" s="141">
        <f t="shared" si="0"/>
        <v>3.6787950049406106E-18</v>
      </c>
      <c r="H23" s="141">
        <f t="shared" si="1"/>
        <v>9.9999997784505839E-17</v>
      </c>
      <c r="I23" s="141">
        <f t="shared" si="1"/>
        <v>1.353353298821062E-19</v>
      </c>
      <c r="J23" s="138" t="str">
        <f>IF(EINGABEN!C23="","",EINGABEN!C23)</f>
        <v/>
      </c>
      <c r="K23" s="253" t="str">
        <f t="shared" si="4"/>
        <v/>
      </c>
      <c r="L23" s="138" t="str">
        <f t="shared" si="5"/>
        <v/>
      </c>
      <c r="M23" s="138" t="str">
        <f t="shared" si="6"/>
        <v/>
      </c>
      <c r="N23" s="138"/>
      <c r="O23" s="138"/>
      <c r="P23" s="139"/>
      <c r="Q23" s="139"/>
      <c r="R23" s="139"/>
      <c r="S23" s="139"/>
      <c r="T23" s="139"/>
      <c r="U23" s="139"/>
    </row>
    <row r="24" spans="1:21" x14ac:dyDescent="0.3">
      <c r="A24" s="150">
        <f>EINGABEN!B24</f>
        <v>1</v>
      </c>
      <c r="B24" s="170">
        <f>EINGABEN!F24</f>
        <v>2.7182818284590451</v>
      </c>
      <c r="C24" s="106"/>
      <c r="D24" s="106">
        <f t="shared" si="2"/>
        <v>9.9999998892252911E-9</v>
      </c>
      <c r="E24" s="106">
        <f t="shared" si="3"/>
        <v>3.6787950456923556E-10</v>
      </c>
      <c r="F24" s="237">
        <f>(LN(((LN((2.7182813^(C52*((A24)^C54))))))))</f>
        <v>-0.18969083633935502</v>
      </c>
      <c r="G24" s="141">
        <f t="shared" si="0"/>
        <v>3.6787950049406106E-18</v>
      </c>
      <c r="H24" s="141">
        <f t="shared" si="1"/>
        <v>9.9999997784505839E-17</v>
      </c>
      <c r="I24" s="141">
        <f t="shared" si="1"/>
        <v>1.353353298821062E-19</v>
      </c>
      <c r="J24" s="138" t="str">
        <f>IF(EINGABEN!C24="","",EINGABEN!C24)</f>
        <v/>
      </c>
      <c r="K24" s="253" t="str">
        <f t="shared" si="4"/>
        <v/>
      </c>
      <c r="L24" s="138" t="str">
        <f t="shared" si="5"/>
        <v/>
      </c>
      <c r="M24" s="138" t="str">
        <f t="shared" si="6"/>
        <v/>
      </c>
      <c r="N24" s="138"/>
      <c r="O24" s="138"/>
      <c r="P24" s="139"/>
      <c r="Q24" s="139"/>
      <c r="R24" s="139"/>
      <c r="S24" s="139"/>
      <c r="T24" s="139"/>
      <c r="U24" s="139"/>
    </row>
    <row r="25" spans="1:21" x14ac:dyDescent="0.3">
      <c r="A25" s="150">
        <f>EINGABEN!B25</f>
        <v>1</v>
      </c>
      <c r="B25" s="170">
        <f>EINGABEN!F25</f>
        <v>2.7182818284590451</v>
      </c>
      <c r="C25" s="106"/>
      <c r="D25" s="106">
        <f t="shared" si="2"/>
        <v>9.9999998892252911E-9</v>
      </c>
      <c r="E25" s="106">
        <f t="shared" si="3"/>
        <v>3.6787950456923556E-10</v>
      </c>
      <c r="F25" s="237">
        <f>(LN(((LN((2.7182813^(C52*((A25)^C54))))))))</f>
        <v>-0.18969083633935502</v>
      </c>
      <c r="G25" s="141">
        <f t="shared" si="0"/>
        <v>3.6787950049406106E-18</v>
      </c>
      <c r="H25" s="141">
        <f t="shared" si="1"/>
        <v>9.9999997784505839E-17</v>
      </c>
      <c r="I25" s="141">
        <f t="shared" si="1"/>
        <v>1.353353298821062E-19</v>
      </c>
      <c r="J25" s="138" t="str">
        <f>IF(EINGABEN!C25="","",EINGABEN!C25)</f>
        <v/>
      </c>
      <c r="K25" s="253" t="str">
        <f t="shared" si="4"/>
        <v/>
      </c>
      <c r="L25" s="138" t="str">
        <f t="shared" si="5"/>
        <v/>
      </c>
      <c r="M25" s="138" t="str">
        <f t="shared" si="6"/>
        <v/>
      </c>
      <c r="N25" s="138"/>
      <c r="O25" s="138"/>
      <c r="P25" s="139"/>
      <c r="Q25" s="139"/>
      <c r="R25" s="139"/>
      <c r="S25" s="139"/>
      <c r="T25" s="139"/>
      <c r="U25" s="139"/>
    </row>
    <row r="26" spans="1:21" x14ac:dyDescent="0.3">
      <c r="A26" s="150">
        <f>EINGABEN!B26</f>
        <v>1</v>
      </c>
      <c r="B26" s="170">
        <f>EINGABEN!F26</f>
        <v>2.7182818284590451</v>
      </c>
      <c r="C26" s="106"/>
      <c r="D26" s="106">
        <f t="shared" si="2"/>
        <v>9.9999998892252911E-9</v>
      </c>
      <c r="E26" s="106">
        <f t="shared" si="3"/>
        <v>3.6787950456923556E-10</v>
      </c>
      <c r="F26" s="237">
        <f>(LN(((LN((2.7182813^(C52*((A26)^C54))))))))</f>
        <v>-0.18969083633935502</v>
      </c>
      <c r="G26" s="141">
        <f t="shared" si="0"/>
        <v>3.6787950049406106E-18</v>
      </c>
      <c r="H26" s="141">
        <f t="shared" si="1"/>
        <v>9.9999997784505839E-17</v>
      </c>
      <c r="I26" s="141">
        <f t="shared" si="1"/>
        <v>1.353353298821062E-19</v>
      </c>
      <c r="J26" s="138" t="str">
        <f>IF(EINGABEN!C26="","",EINGABEN!C26)</f>
        <v/>
      </c>
      <c r="K26" s="253" t="str">
        <f t="shared" si="4"/>
        <v/>
      </c>
      <c r="L26" s="138" t="str">
        <f t="shared" si="5"/>
        <v/>
      </c>
      <c r="M26" s="138" t="str">
        <f t="shared" si="6"/>
        <v/>
      </c>
      <c r="N26" s="138"/>
      <c r="O26" s="138"/>
      <c r="P26" s="139"/>
      <c r="Q26" s="139"/>
      <c r="R26" s="139"/>
      <c r="S26" s="139"/>
      <c r="T26" s="139"/>
      <c r="U26" s="139"/>
    </row>
    <row r="27" spans="1:21" x14ac:dyDescent="0.3">
      <c r="A27" s="150">
        <f>EINGABEN!B27</f>
        <v>1</v>
      </c>
      <c r="B27" s="170">
        <f>EINGABEN!F27</f>
        <v>2.7182818284590451</v>
      </c>
      <c r="C27" s="106"/>
      <c r="D27" s="106">
        <f t="shared" si="2"/>
        <v>9.9999998892252911E-9</v>
      </c>
      <c r="E27" s="106">
        <f t="shared" si="3"/>
        <v>3.6787950456923556E-10</v>
      </c>
      <c r="F27" s="237">
        <f>(LN(((LN((2.7182813^(C52*((A27)^C54))))))))</f>
        <v>-0.18969083633935502</v>
      </c>
      <c r="G27" s="141">
        <f t="shared" si="0"/>
        <v>3.6787950049406106E-18</v>
      </c>
      <c r="H27" s="141">
        <f t="shared" si="1"/>
        <v>9.9999997784505839E-17</v>
      </c>
      <c r="I27" s="141">
        <f t="shared" si="1"/>
        <v>1.353353298821062E-19</v>
      </c>
      <c r="J27" s="138" t="str">
        <f>IF(EINGABEN!C27="","",EINGABEN!C27)</f>
        <v/>
      </c>
      <c r="K27" s="253" t="str">
        <f t="shared" si="4"/>
        <v/>
      </c>
      <c r="L27" s="138" t="str">
        <f t="shared" si="5"/>
        <v/>
      </c>
      <c r="M27" s="138" t="str">
        <f t="shared" si="6"/>
        <v/>
      </c>
      <c r="N27" s="138"/>
      <c r="O27" s="138"/>
      <c r="P27" s="139"/>
      <c r="Q27" s="139"/>
      <c r="R27" s="139"/>
      <c r="S27" s="139"/>
      <c r="T27" s="139"/>
      <c r="U27" s="139"/>
    </row>
    <row r="28" spans="1:21" x14ac:dyDescent="0.3">
      <c r="A28" s="150">
        <f>EINGABEN!B28</f>
        <v>1</v>
      </c>
      <c r="B28" s="170">
        <f>EINGABEN!F28</f>
        <v>2.7182818284590451</v>
      </c>
      <c r="C28" s="106"/>
      <c r="D28" s="106">
        <f t="shared" si="2"/>
        <v>9.9999998892252911E-9</v>
      </c>
      <c r="E28" s="106">
        <f t="shared" si="3"/>
        <v>3.6787950456923556E-10</v>
      </c>
      <c r="F28" s="237">
        <f>(LN(((LN((2.7182813^(C52*((A28)^C54))))))))</f>
        <v>-0.18969083633935502</v>
      </c>
      <c r="G28" s="141">
        <f t="shared" si="0"/>
        <v>3.6787950049406106E-18</v>
      </c>
      <c r="H28" s="141">
        <f t="shared" si="1"/>
        <v>9.9999997784505839E-17</v>
      </c>
      <c r="I28" s="141">
        <f t="shared" si="1"/>
        <v>1.353353298821062E-19</v>
      </c>
      <c r="J28" s="139" t="str">
        <f>IF(EINGABEN!C28="","",EINGABEN!C28)</f>
        <v/>
      </c>
      <c r="K28" s="256" t="str">
        <f t="shared" si="4"/>
        <v/>
      </c>
      <c r="L28" s="139" t="str">
        <f t="shared" si="5"/>
        <v/>
      </c>
      <c r="M28" s="139" t="str">
        <f t="shared" si="6"/>
        <v/>
      </c>
      <c r="N28" s="139"/>
      <c r="O28" s="139"/>
      <c r="P28" s="139"/>
      <c r="Q28" s="139"/>
      <c r="R28" s="139"/>
      <c r="S28" s="139"/>
      <c r="T28" s="139"/>
      <c r="U28" s="139"/>
    </row>
    <row r="29" spans="1:21" x14ac:dyDescent="0.3">
      <c r="A29" s="150">
        <f>EINGABEN!B29</f>
        <v>1</v>
      </c>
      <c r="B29" s="170">
        <f>EINGABEN!F29</f>
        <v>2.7182818284590451</v>
      </c>
      <c r="C29" s="106"/>
      <c r="D29" s="106">
        <f t="shared" si="2"/>
        <v>9.9999998892252911E-9</v>
      </c>
      <c r="E29" s="106">
        <f t="shared" si="3"/>
        <v>3.6787950456923556E-10</v>
      </c>
      <c r="F29" s="237">
        <f>(LN(((LN((2.7182813^(C52*((A29)^C54))))))))</f>
        <v>-0.18969083633935502</v>
      </c>
      <c r="G29" s="141">
        <f t="shared" si="0"/>
        <v>3.6787950049406106E-18</v>
      </c>
      <c r="H29" s="141">
        <f t="shared" si="1"/>
        <v>9.9999997784505839E-17</v>
      </c>
      <c r="I29" s="141">
        <f t="shared" si="1"/>
        <v>1.353353298821062E-19</v>
      </c>
      <c r="J29" s="139" t="str">
        <f>IF(EINGABEN!C29="","",EINGABEN!C29)</f>
        <v/>
      </c>
      <c r="K29" s="256" t="str">
        <f t="shared" si="4"/>
        <v/>
      </c>
      <c r="L29" s="139" t="str">
        <f t="shared" si="5"/>
        <v/>
      </c>
      <c r="M29" s="139" t="str">
        <f t="shared" si="6"/>
        <v/>
      </c>
      <c r="N29" s="139"/>
      <c r="O29" s="139"/>
      <c r="P29" s="139"/>
      <c r="Q29" s="139"/>
      <c r="R29" s="139"/>
      <c r="S29" s="139"/>
      <c r="T29" s="139"/>
      <c r="U29" s="139"/>
    </row>
    <row r="30" spans="1:21" x14ac:dyDescent="0.3">
      <c r="A30" s="150">
        <f>EINGABEN!B30</f>
        <v>1</v>
      </c>
      <c r="B30" s="170">
        <f>EINGABEN!F30</f>
        <v>2.7182818284590451</v>
      </c>
      <c r="C30" s="106"/>
      <c r="D30" s="106">
        <f t="shared" si="2"/>
        <v>9.9999998892252911E-9</v>
      </c>
      <c r="E30" s="106">
        <f t="shared" si="3"/>
        <v>3.6787950456923556E-10</v>
      </c>
      <c r="F30" s="237">
        <f>(LN(((LN((2.7182813^(C52*((A30)^C54))))))))</f>
        <v>-0.18969083633935502</v>
      </c>
      <c r="G30" s="141">
        <f t="shared" si="0"/>
        <v>3.6787950049406106E-18</v>
      </c>
      <c r="H30" s="141">
        <f t="shared" si="1"/>
        <v>9.9999997784505839E-17</v>
      </c>
      <c r="I30" s="141">
        <f t="shared" si="1"/>
        <v>1.353353298821062E-19</v>
      </c>
      <c r="J30" s="139" t="str">
        <f>IF(EINGABEN!C30="","",EINGABEN!C30)</f>
        <v/>
      </c>
      <c r="K30" s="256" t="str">
        <f t="shared" si="4"/>
        <v/>
      </c>
      <c r="L30" s="139" t="str">
        <f t="shared" si="5"/>
        <v/>
      </c>
      <c r="M30" s="139" t="str">
        <f t="shared" si="6"/>
        <v/>
      </c>
      <c r="N30" s="139"/>
      <c r="O30" s="139"/>
      <c r="P30" s="139"/>
      <c r="Q30" s="139"/>
      <c r="R30" s="139"/>
      <c r="S30" s="139"/>
      <c r="T30" s="139"/>
      <c r="U30" s="139"/>
    </row>
    <row r="31" spans="1:21" x14ac:dyDescent="0.3">
      <c r="A31" s="150">
        <f>EINGABEN!B31</f>
        <v>1</v>
      </c>
      <c r="B31" s="170">
        <f>EINGABEN!F31</f>
        <v>2.7182818284590451</v>
      </c>
      <c r="C31" s="106"/>
      <c r="D31" s="106">
        <f t="shared" si="2"/>
        <v>9.9999998892252911E-9</v>
      </c>
      <c r="E31" s="106">
        <f t="shared" si="3"/>
        <v>3.6787950456923556E-10</v>
      </c>
      <c r="F31" s="237">
        <f>(LN(((LN((2.7182813^(C52*((A31)^C54))))))))</f>
        <v>-0.18969083633935502</v>
      </c>
      <c r="G31" s="141">
        <f t="shared" si="0"/>
        <v>3.6787950049406106E-18</v>
      </c>
      <c r="H31" s="141">
        <f t="shared" si="1"/>
        <v>9.9999997784505839E-17</v>
      </c>
      <c r="I31" s="141">
        <f t="shared" si="1"/>
        <v>1.353353298821062E-19</v>
      </c>
      <c r="J31" s="139" t="str">
        <f>IF(EINGABEN!C31="","",EINGABEN!C31)</f>
        <v/>
      </c>
      <c r="K31" s="256" t="str">
        <f t="shared" si="4"/>
        <v/>
      </c>
      <c r="L31" s="139" t="str">
        <f t="shared" si="5"/>
        <v/>
      </c>
      <c r="M31" s="139" t="str">
        <f t="shared" si="6"/>
        <v/>
      </c>
      <c r="N31" s="139"/>
      <c r="O31" s="139"/>
      <c r="P31" s="139"/>
      <c r="Q31" s="139"/>
      <c r="R31" s="139"/>
      <c r="S31" s="139"/>
      <c r="T31" s="139"/>
      <c r="U31" s="139"/>
    </row>
    <row r="32" spans="1:21" x14ac:dyDescent="0.3">
      <c r="A32" s="150">
        <f>EINGABEN!B32</f>
        <v>1</v>
      </c>
      <c r="B32" s="170">
        <f>EINGABEN!F32</f>
        <v>2.7182818284590451</v>
      </c>
      <c r="C32" s="106"/>
      <c r="D32" s="106">
        <f t="shared" si="2"/>
        <v>9.9999998892252911E-9</v>
      </c>
      <c r="E32" s="106">
        <f t="shared" si="3"/>
        <v>3.6787950456923556E-10</v>
      </c>
      <c r="F32" s="237">
        <f>(LN(((LN((2.7182813^(C52*((A32)^C54))))))))</f>
        <v>-0.18969083633935502</v>
      </c>
      <c r="G32" s="141">
        <f t="shared" si="0"/>
        <v>3.6787950049406106E-18</v>
      </c>
      <c r="H32" s="141">
        <f t="shared" si="1"/>
        <v>9.9999997784505839E-17</v>
      </c>
      <c r="I32" s="141">
        <f t="shared" si="1"/>
        <v>1.353353298821062E-19</v>
      </c>
      <c r="J32" s="139" t="str">
        <f>IF(EINGABEN!C32="","",EINGABEN!C32)</f>
        <v/>
      </c>
      <c r="K32" s="256" t="str">
        <f t="shared" si="4"/>
        <v/>
      </c>
      <c r="L32" s="139" t="str">
        <f t="shared" si="5"/>
        <v/>
      </c>
      <c r="M32" s="139" t="str">
        <f t="shared" si="6"/>
        <v/>
      </c>
      <c r="N32" s="139"/>
      <c r="O32" s="139"/>
      <c r="P32" s="139"/>
      <c r="Q32" s="139"/>
      <c r="R32" s="139"/>
      <c r="S32" s="139"/>
      <c r="T32" s="139"/>
      <c r="U32" s="139"/>
    </row>
    <row r="33" spans="1:21" x14ac:dyDescent="0.3">
      <c r="A33" s="150">
        <f>EINGABEN!B33</f>
        <v>1</v>
      </c>
      <c r="B33" s="170">
        <f>EINGABEN!F33</f>
        <v>2.7182818284590451</v>
      </c>
      <c r="C33" s="106"/>
      <c r="D33" s="106">
        <f t="shared" si="2"/>
        <v>9.9999998892252911E-9</v>
      </c>
      <c r="E33" s="106">
        <f t="shared" si="3"/>
        <v>3.6787950456923556E-10</v>
      </c>
      <c r="F33" s="237">
        <f>(LN(((LN((2.7182813^(C52*((A33)^C54))))))))</f>
        <v>-0.18969083633935502</v>
      </c>
      <c r="G33" s="141">
        <f t="shared" si="0"/>
        <v>3.6787950049406106E-18</v>
      </c>
      <c r="H33" s="141">
        <f t="shared" si="1"/>
        <v>9.9999997784505839E-17</v>
      </c>
      <c r="I33" s="141">
        <f t="shared" si="1"/>
        <v>1.353353298821062E-19</v>
      </c>
      <c r="J33" s="139" t="str">
        <f>IF(EINGABEN!C33="","",EINGABEN!C33)</f>
        <v/>
      </c>
      <c r="K33" s="256" t="str">
        <f t="shared" si="4"/>
        <v/>
      </c>
      <c r="L33" s="139" t="str">
        <f t="shared" si="5"/>
        <v/>
      </c>
      <c r="M33" s="139" t="str">
        <f t="shared" si="6"/>
        <v/>
      </c>
      <c r="N33" s="139"/>
      <c r="O33" s="139"/>
      <c r="P33" s="139"/>
      <c r="Q33" s="139"/>
      <c r="R33" s="139"/>
      <c r="S33" s="139"/>
      <c r="T33" s="139"/>
      <c r="U33" s="139"/>
    </row>
    <row r="34" spans="1:21" x14ac:dyDescent="0.3">
      <c r="A34" s="150">
        <f>EINGABEN!B34</f>
        <v>1</v>
      </c>
      <c r="B34" s="170">
        <f>EINGABEN!F34</f>
        <v>2.7182818284590451</v>
      </c>
      <c r="C34" s="106"/>
      <c r="D34" s="106">
        <f t="shared" si="2"/>
        <v>9.9999998892252911E-9</v>
      </c>
      <c r="E34" s="106">
        <f t="shared" si="3"/>
        <v>3.6787950456923556E-10</v>
      </c>
      <c r="F34" s="237">
        <f>(LN(((LN((2.7182813^(C52*((A34)^C54))))))))</f>
        <v>-0.18969083633935502</v>
      </c>
      <c r="G34" s="141">
        <f t="shared" si="0"/>
        <v>3.6787950049406106E-18</v>
      </c>
      <c r="H34" s="141">
        <f t="shared" si="1"/>
        <v>9.9999997784505839E-17</v>
      </c>
      <c r="I34" s="141">
        <f t="shared" si="1"/>
        <v>1.353353298821062E-19</v>
      </c>
      <c r="J34" s="139" t="str">
        <f>IF(EINGABEN!C34="","",EINGABEN!C34)</f>
        <v/>
      </c>
      <c r="K34" s="256" t="str">
        <f t="shared" si="4"/>
        <v/>
      </c>
      <c r="L34" s="139" t="str">
        <f t="shared" si="5"/>
        <v/>
      </c>
      <c r="M34" s="139" t="str">
        <f t="shared" si="6"/>
        <v/>
      </c>
      <c r="N34" s="139"/>
      <c r="O34" s="139"/>
      <c r="P34" s="139"/>
      <c r="Q34" s="139"/>
      <c r="R34" s="139"/>
      <c r="S34" s="139"/>
      <c r="T34" s="139"/>
      <c r="U34" s="139"/>
    </row>
    <row r="35" spans="1:21" x14ac:dyDescent="0.3">
      <c r="A35" s="150">
        <f>EINGABEN!B35</f>
        <v>1</v>
      </c>
      <c r="B35" s="170">
        <f>EINGABEN!F35</f>
        <v>2.7182818284590451</v>
      </c>
      <c r="C35" s="106"/>
      <c r="D35" s="106">
        <f t="shared" si="2"/>
        <v>9.9999998892252911E-9</v>
      </c>
      <c r="E35" s="106">
        <f t="shared" si="3"/>
        <v>3.6787950456923556E-10</v>
      </c>
      <c r="F35" s="237">
        <f>(LN(((LN((2.7182813^(C52*((A35)^C54))))))))</f>
        <v>-0.18969083633935502</v>
      </c>
      <c r="G35" s="141">
        <f t="shared" si="0"/>
        <v>3.6787950049406106E-18</v>
      </c>
      <c r="H35" s="141">
        <f t="shared" si="1"/>
        <v>9.9999997784505839E-17</v>
      </c>
      <c r="I35" s="141">
        <f t="shared" si="1"/>
        <v>1.353353298821062E-19</v>
      </c>
      <c r="J35" s="139" t="str">
        <f>IF(EINGABEN!C35="","",EINGABEN!C35)</f>
        <v/>
      </c>
      <c r="K35" s="256" t="str">
        <f t="shared" si="4"/>
        <v/>
      </c>
      <c r="L35" s="139" t="str">
        <f t="shared" si="5"/>
        <v/>
      </c>
      <c r="M35" s="139" t="str">
        <f t="shared" si="6"/>
        <v/>
      </c>
      <c r="N35" s="139"/>
      <c r="O35" s="139"/>
      <c r="P35" s="139"/>
      <c r="Q35" s="139"/>
      <c r="R35" s="139"/>
      <c r="S35" s="139"/>
      <c r="T35" s="139"/>
      <c r="U35" s="139"/>
    </row>
    <row r="36" spans="1:21" x14ac:dyDescent="0.3">
      <c r="A36" s="150">
        <f>EINGABEN!B36</f>
        <v>1</v>
      </c>
      <c r="B36" s="170">
        <f>EINGABEN!F36</f>
        <v>2.7182818284590451</v>
      </c>
      <c r="C36" s="106"/>
      <c r="D36" s="106">
        <f t="shared" si="2"/>
        <v>9.9999998892252911E-9</v>
      </c>
      <c r="E36" s="106">
        <f t="shared" si="3"/>
        <v>3.6787950456923556E-10</v>
      </c>
      <c r="F36" s="237">
        <f>(LN(((LN((2.7182813^(C52*((A36)^C54))))))))</f>
        <v>-0.18969083633935502</v>
      </c>
      <c r="G36" s="141">
        <f t="shared" si="0"/>
        <v>3.6787950049406106E-18</v>
      </c>
      <c r="H36" s="141">
        <f t="shared" si="1"/>
        <v>9.9999997784505839E-17</v>
      </c>
      <c r="I36" s="141">
        <f t="shared" si="1"/>
        <v>1.353353298821062E-19</v>
      </c>
      <c r="J36" s="139" t="str">
        <f>IF(EINGABEN!C36="","",EINGABEN!C36)</f>
        <v/>
      </c>
      <c r="K36" s="256" t="str">
        <f t="shared" si="4"/>
        <v/>
      </c>
      <c r="L36" s="139" t="str">
        <f t="shared" si="5"/>
        <v/>
      </c>
      <c r="M36" s="139" t="str">
        <f t="shared" si="6"/>
        <v/>
      </c>
      <c r="N36" s="139"/>
      <c r="O36" s="139"/>
      <c r="P36" s="139"/>
      <c r="Q36" s="139"/>
      <c r="R36" s="139"/>
      <c r="S36" s="139"/>
      <c r="T36" s="139"/>
      <c r="U36" s="139"/>
    </row>
    <row r="37" spans="1:21" x14ac:dyDescent="0.3">
      <c r="A37" s="150">
        <f>EINGABEN!B37</f>
        <v>1</v>
      </c>
      <c r="B37" s="170">
        <f>EINGABEN!F37</f>
        <v>2.7182818284590451</v>
      </c>
      <c r="C37" s="106"/>
      <c r="D37" s="106">
        <f t="shared" si="2"/>
        <v>9.9999998892252911E-9</v>
      </c>
      <c r="E37" s="106">
        <f t="shared" si="3"/>
        <v>3.6787950456923556E-10</v>
      </c>
      <c r="F37" s="237">
        <f>(LN(((LN((2.7182813^(C52*((A37)^C54))))))))</f>
        <v>-0.18969083633935502</v>
      </c>
      <c r="G37" s="141">
        <f t="shared" si="0"/>
        <v>3.6787950049406106E-18</v>
      </c>
      <c r="H37" s="141">
        <f t="shared" si="1"/>
        <v>9.9999997784505839E-17</v>
      </c>
      <c r="I37" s="141">
        <f t="shared" si="1"/>
        <v>1.353353298821062E-19</v>
      </c>
      <c r="J37" s="139" t="str">
        <f>IF(EINGABEN!C37="","",EINGABEN!C37)</f>
        <v/>
      </c>
      <c r="K37" s="256" t="str">
        <f t="shared" si="4"/>
        <v/>
      </c>
      <c r="L37" s="139" t="str">
        <f t="shared" si="5"/>
        <v/>
      </c>
      <c r="M37" s="139" t="str">
        <f t="shared" si="6"/>
        <v/>
      </c>
      <c r="N37" s="139"/>
      <c r="O37" s="139"/>
      <c r="P37" s="139"/>
      <c r="Q37" s="139"/>
      <c r="R37" s="139"/>
      <c r="S37" s="139"/>
      <c r="T37" s="139"/>
      <c r="U37" s="139"/>
    </row>
    <row r="38" spans="1:21" x14ac:dyDescent="0.3">
      <c r="A38" s="150">
        <f>EINGABEN!B38</f>
        <v>1</v>
      </c>
      <c r="B38" s="170">
        <f>EINGABEN!F38</f>
        <v>2.7182818284590451</v>
      </c>
      <c r="C38" s="106"/>
      <c r="D38" s="106">
        <f t="shared" si="2"/>
        <v>9.9999998892252911E-9</v>
      </c>
      <c r="E38" s="106">
        <f t="shared" si="3"/>
        <v>3.6787950456923556E-10</v>
      </c>
      <c r="F38" s="237">
        <f>(LN(((LN((2.7182813^(C52*((A38)^C54))))))))</f>
        <v>-0.18969083633935502</v>
      </c>
      <c r="G38" s="141">
        <f t="shared" si="0"/>
        <v>3.6787950049406106E-18</v>
      </c>
      <c r="H38" s="141">
        <f t="shared" si="1"/>
        <v>9.9999997784505839E-17</v>
      </c>
      <c r="I38" s="141">
        <f t="shared" si="1"/>
        <v>1.353353298821062E-19</v>
      </c>
      <c r="J38" s="139" t="str">
        <f>IF(EINGABEN!C38="","",EINGABEN!C38)</f>
        <v/>
      </c>
      <c r="K38" s="256" t="str">
        <f t="shared" si="4"/>
        <v/>
      </c>
      <c r="L38" s="139" t="str">
        <f t="shared" si="5"/>
        <v/>
      </c>
      <c r="M38" s="139" t="str">
        <f t="shared" si="6"/>
        <v/>
      </c>
      <c r="N38" s="139"/>
      <c r="O38" s="139"/>
      <c r="P38" s="139"/>
      <c r="Q38" s="139"/>
      <c r="R38" s="139"/>
      <c r="S38" s="139"/>
      <c r="T38" s="139"/>
      <c r="U38" s="139"/>
    </row>
    <row r="39" spans="1:21" x14ac:dyDescent="0.3">
      <c r="A39" s="150">
        <f>EINGABEN!B39</f>
        <v>1</v>
      </c>
      <c r="B39" s="170">
        <f>EINGABEN!F39</f>
        <v>2.7182818284590451</v>
      </c>
      <c r="C39" s="106"/>
      <c r="D39" s="106">
        <f t="shared" si="2"/>
        <v>9.9999998892252911E-9</v>
      </c>
      <c r="E39" s="106">
        <f t="shared" si="3"/>
        <v>3.6787950456923556E-10</v>
      </c>
      <c r="F39" s="237">
        <f>(LN(((LN((2.7182813^(C52*((A39)^C54))))))))</f>
        <v>-0.18969083633935502</v>
      </c>
      <c r="G39" s="141">
        <f t="shared" si="0"/>
        <v>3.6787950049406106E-18</v>
      </c>
      <c r="H39" s="141">
        <f t="shared" si="1"/>
        <v>9.9999997784505839E-17</v>
      </c>
      <c r="I39" s="141">
        <f t="shared" si="1"/>
        <v>1.353353298821062E-19</v>
      </c>
      <c r="J39" s="139" t="str">
        <f>IF(EINGABEN!C39="","",EINGABEN!C39)</f>
        <v/>
      </c>
      <c r="K39" s="256" t="str">
        <f t="shared" si="4"/>
        <v/>
      </c>
      <c r="L39" s="139" t="str">
        <f t="shared" si="5"/>
        <v/>
      </c>
      <c r="M39" s="139" t="str">
        <f t="shared" si="6"/>
        <v/>
      </c>
      <c r="N39" s="139"/>
      <c r="O39" s="139"/>
      <c r="P39" s="139"/>
      <c r="Q39" s="139"/>
      <c r="R39" s="139"/>
      <c r="S39" s="139"/>
      <c r="T39" s="139"/>
      <c r="U39" s="139"/>
    </row>
    <row r="40" spans="1:21" x14ac:dyDescent="0.3">
      <c r="A40" s="150">
        <f>EINGABEN!B40</f>
        <v>1</v>
      </c>
      <c r="B40" s="170">
        <f>EINGABEN!F40</f>
        <v>2.7182818284590451</v>
      </c>
      <c r="C40" s="106"/>
      <c r="D40" s="106">
        <f t="shared" si="2"/>
        <v>9.9999998892252911E-9</v>
      </c>
      <c r="E40" s="106">
        <f t="shared" si="3"/>
        <v>3.6787950456923556E-10</v>
      </c>
      <c r="F40" s="237">
        <f>(LN(((LN((2.7182813^(C52*((A40)^C54))))))))</f>
        <v>-0.18969083633935502</v>
      </c>
      <c r="G40" s="141">
        <f t="shared" si="0"/>
        <v>3.6787950049406106E-18</v>
      </c>
      <c r="H40" s="141">
        <f t="shared" si="1"/>
        <v>9.9999997784505839E-17</v>
      </c>
      <c r="I40" s="141">
        <f t="shared" si="1"/>
        <v>1.353353298821062E-19</v>
      </c>
      <c r="J40" s="139" t="str">
        <f>IF(EINGABEN!C40="","",EINGABEN!C40)</f>
        <v/>
      </c>
      <c r="K40" s="256" t="str">
        <f t="shared" si="4"/>
        <v/>
      </c>
      <c r="L40" s="139" t="str">
        <f t="shared" si="5"/>
        <v/>
      </c>
      <c r="M40" s="139" t="str">
        <f t="shared" si="6"/>
        <v/>
      </c>
      <c r="N40" s="139"/>
      <c r="O40" s="139"/>
      <c r="P40" s="139"/>
      <c r="Q40" s="139"/>
      <c r="R40" s="139"/>
      <c r="S40" s="139"/>
      <c r="T40" s="139"/>
      <c r="U40" s="139"/>
    </row>
    <row r="41" spans="1:21" x14ac:dyDescent="0.3">
      <c r="A41" s="150">
        <f>EINGABEN!B41</f>
        <v>1</v>
      </c>
      <c r="B41" s="170">
        <f>EINGABEN!F41</f>
        <v>2.7182818284590451</v>
      </c>
      <c r="C41" s="106"/>
      <c r="D41" s="106">
        <f t="shared" si="2"/>
        <v>9.9999998892252911E-9</v>
      </c>
      <c r="E41" s="106">
        <f t="shared" si="3"/>
        <v>3.6787950456923556E-10</v>
      </c>
      <c r="F41" s="237">
        <f>(LN(((LN((2.7182813^(C52*((A41)^C54))))))))</f>
        <v>-0.18969083633935502</v>
      </c>
      <c r="G41" s="141">
        <f t="shared" si="0"/>
        <v>3.6787950049406106E-18</v>
      </c>
      <c r="H41" s="141">
        <f t="shared" si="1"/>
        <v>9.9999997784505839E-17</v>
      </c>
      <c r="I41" s="141">
        <f t="shared" si="1"/>
        <v>1.353353298821062E-19</v>
      </c>
      <c r="J41" s="139" t="str">
        <f>IF(EINGABEN!C41="","",EINGABEN!C41)</f>
        <v/>
      </c>
      <c r="K41" s="256" t="str">
        <f t="shared" si="4"/>
        <v/>
      </c>
      <c r="L41" s="139" t="str">
        <f t="shared" si="5"/>
        <v/>
      </c>
      <c r="M41" s="139" t="str">
        <f t="shared" si="6"/>
        <v/>
      </c>
      <c r="N41" s="139"/>
      <c r="O41" s="139"/>
      <c r="P41" s="139"/>
      <c r="Q41" s="139"/>
      <c r="R41" s="139"/>
      <c r="S41" s="139"/>
      <c r="T41" s="139"/>
      <c r="U41" s="139"/>
    </row>
    <row r="42" spans="1:21" x14ac:dyDescent="0.3">
      <c r="A42" s="150">
        <f>EINGABEN!B42</f>
        <v>1</v>
      </c>
      <c r="B42" s="170">
        <f>EINGABEN!F42</f>
        <v>2.7182818284590451</v>
      </c>
      <c r="C42" s="106"/>
      <c r="D42" s="106">
        <f t="shared" si="2"/>
        <v>9.9999998892252911E-9</v>
      </c>
      <c r="E42" s="106">
        <f t="shared" si="3"/>
        <v>3.6787950456923556E-10</v>
      </c>
      <c r="F42" s="237">
        <f>(LN(((LN((2.7182813^(C52*((A42)^C54))))))))</f>
        <v>-0.18969083633935502</v>
      </c>
      <c r="G42" s="141">
        <f t="shared" si="0"/>
        <v>3.6787950049406106E-18</v>
      </c>
      <c r="H42" s="141">
        <f t="shared" si="1"/>
        <v>9.9999997784505839E-17</v>
      </c>
      <c r="I42" s="141">
        <f t="shared" si="1"/>
        <v>1.353353298821062E-19</v>
      </c>
      <c r="J42" s="139" t="str">
        <f>IF(EINGABEN!C42="","",EINGABEN!C42)</f>
        <v/>
      </c>
      <c r="K42" s="256" t="str">
        <f t="shared" si="4"/>
        <v/>
      </c>
      <c r="L42" s="139" t="str">
        <f t="shared" si="5"/>
        <v/>
      </c>
      <c r="M42" s="139" t="str">
        <f t="shared" si="6"/>
        <v/>
      </c>
      <c r="N42" s="139"/>
      <c r="O42" s="139"/>
      <c r="P42" s="139"/>
      <c r="Q42" s="139"/>
      <c r="R42" s="139"/>
      <c r="S42" s="139"/>
      <c r="T42" s="139"/>
      <c r="U42" s="139"/>
    </row>
    <row r="43" spans="1:21" x14ac:dyDescent="0.3">
      <c r="A43" s="150">
        <f>EINGABEN!B43</f>
        <v>1</v>
      </c>
      <c r="B43" s="170">
        <f>EINGABEN!F43</f>
        <v>2.7182818284590451</v>
      </c>
      <c r="C43" s="106"/>
      <c r="D43" s="106">
        <f t="shared" si="2"/>
        <v>9.9999998892252911E-9</v>
      </c>
      <c r="E43" s="106">
        <f t="shared" si="3"/>
        <v>3.6787950456923556E-10</v>
      </c>
      <c r="F43" s="237">
        <f>(LN(((LN((2.7182813^(C52*((A43)^C54))))))))</f>
        <v>-0.18969083633935502</v>
      </c>
      <c r="G43" s="141">
        <f t="shared" si="0"/>
        <v>3.6787950049406106E-18</v>
      </c>
      <c r="H43" s="141">
        <f t="shared" si="1"/>
        <v>9.9999997784505839E-17</v>
      </c>
      <c r="I43" s="141">
        <f t="shared" si="1"/>
        <v>1.353353298821062E-19</v>
      </c>
      <c r="J43" s="139" t="str">
        <f>IF(EINGABEN!C43="","",EINGABEN!C43)</f>
        <v/>
      </c>
      <c r="K43" s="256" t="str">
        <f t="shared" si="4"/>
        <v/>
      </c>
      <c r="L43" s="139" t="str">
        <f t="shared" si="5"/>
        <v/>
      </c>
      <c r="M43" s="139" t="str">
        <f t="shared" si="6"/>
        <v/>
      </c>
      <c r="N43" s="139"/>
      <c r="O43" s="139"/>
      <c r="P43" s="139"/>
      <c r="Q43" s="139"/>
      <c r="R43" s="139"/>
      <c r="S43" s="139"/>
      <c r="T43" s="139"/>
      <c r="U43" s="139"/>
    </row>
    <row r="44" spans="1:21" x14ac:dyDescent="0.3">
      <c r="A44" s="150">
        <f>EINGABEN!B44</f>
        <v>1</v>
      </c>
      <c r="B44" s="170">
        <f>EINGABEN!F44</f>
        <v>2.7182818284590451</v>
      </c>
      <c r="C44" s="106"/>
      <c r="D44" s="106">
        <f t="shared" si="2"/>
        <v>9.9999998892252911E-9</v>
      </c>
      <c r="E44" s="106">
        <f t="shared" si="3"/>
        <v>3.6787950456923556E-10</v>
      </c>
      <c r="F44" s="237">
        <f>(LN(((LN((2.7182813^(C52*((A44)^C54))))))))</f>
        <v>-0.18969083633935502</v>
      </c>
      <c r="G44" s="141">
        <f t="shared" si="0"/>
        <v>3.6787950049406106E-18</v>
      </c>
      <c r="H44" s="141">
        <f t="shared" si="1"/>
        <v>9.9999997784505839E-17</v>
      </c>
      <c r="I44" s="141">
        <f t="shared" si="1"/>
        <v>1.353353298821062E-19</v>
      </c>
      <c r="J44" s="139" t="str">
        <f>IF(EINGABEN!C44="","",EINGABEN!C44)</f>
        <v/>
      </c>
      <c r="K44" s="256" t="str">
        <f t="shared" si="4"/>
        <v/>
      </c>
      <c r="L44" s="139" t="str">
        <f t="shared" si="5"/>
        <v/>
      </c>
      <c r="M44" s="139" t="str">
        <f t="shared" si="6"/>
        <v/>
      </c>
      <c r="N44" s="139"/>
      <c r="O44" s="139"/>
      <c r="P44" s="139"/>
      <c r="Q44" s="139"/>
      <c r="R44" s="139"/>
      <c r="S44" s="139"/>
      <c r="T44" s="139"/>
      <c r="U44" s="139"/>
    </row>
    <row r="45" spans="1:21" ht="15" thickBot="1" x14ac:dyDescent="0.35">
      <c r="A45" s="207">
        <f>EINGABEN!B45</f>
        <v>1</v>
      </c>
      <c r="B45" s="184">
        <f>EINGABEN!F45</f>
        <v>2.7182818284590451</v>
      </c>
      <c r="C45" s="208"/>
      <c r="D45" s="208">
        <f t="shared" si="2"/>
        <v>9.9999998892252911E-9</v>
      </c>
      <c r="E45" s="208">
        <f t="shared" si="3"/>
        <v>3.6787950456923556E-10</v>
      </c>
      <c r="F45" s="257">
        <f>(LN(((LN((2.7182813^(C52*((A45)^C54))))))))</f>
        <v>-0.18969083633935502</v>
      </c>
      <c r="G45" s="141">
        <f t="shared" si="0"/>
        <v>3.6787950049406106E-18</v>
      </c>
      <c r="H45" s="141">
        <f t="shared" si="1"/>
        <v>9.9999997784505839E-17</v>
      </c>
      <c r="I45" s="141">
        <f t="shared" si="1"/>
        <v>1.353353298821062E-19</v>
      </c>
      <c r="J45" s="139" t="str">
        <f>IF(EINGABEN!C45="","",EINGABEN!C45)</f>
        <v/>
      </c>
      <c r="K45" s="256" t="str">
        <f t="shared" si="4"/>
        <v/>
      </c>
      <c r="L45" s="139" t="str">
        <f t="shared" si="5"/>
        <v/>
      </c>
      <c r="M45" s="139" t="str">
        <f t="shared" si="6"/>
        <v/>
      </c>
      <c r="N45" s="139"/>
      <c r="O45" s="139"/>
      <c r="P45" s="139"/>
      <c r="Q45" s="139"/>
      <c r="R45" s="139"/>
      <c r="S45" s="139"/>
      <c r="T45" s="139"/>
      <c r="U45" s="139"/>
    </row>
    <row r="46" spans="1:21" ht="15" thickTop="1" x14ac:dyDescent="0.3">
      <c r="A46" s="175" t="s">
        <v>44</v>
      </c>
      <c r="B46" s="61"/>
      <c r="C46" s="61"/>
      <c r="D46" s="61"/>
      <c r="E46" s="51"/>
      <c r="F46" s="177"/>
      <c r="G46" s="138"/>
      <c r="H46" s="138"/>
      <c r="I46" s="138"/>
      <c r="J46" s="139"/>
      <c r="K46" s="156"/>
      <c r="L46" s="156" t="s">
        <v>116</v>
      </c>
      <c r="M46" s="156">
        <f>((SUM(M6:M45))/((EINGABEN!D46)-1))^0.5</f>
        <v>109.4988127427431</v>
      </c>
      <c r="N46" s="139"/>
      <c r="O46" s="139"/>
      <c r="P46" s="139"/>
      <c r="Q46" s="139"/>
      <c r="R46" s="139"/>
      <c r="S46" s="139"/>
      <c r="T46" s="139"/>
      <c r="U46" s="139"/>
    </row>
    <row r="47" spans="1:21" x14ac:dyDescent="0.3">
      <c r="A47" s="258" t="s">
        <v>40</v>
      </c>
      <c r="B47" s="51" t="s">
        <v>45</v>
      </c>
      <c r="C47" s="51"/>
      <c r="D47" s="51"/>
      <c r="E47" s="61"/>
      <c r="F47" s="177"/>
      <c r="G47" s="138"/>
      <c r="H47" s="138"/>
      <c r="I47" s="138"/>
      <c r="J47" s="138"/>
      <c r="K47" s="259"/>
      <c r="L47" s="259"/>
      <c r="M47" s="259"/>
      <c r="N47" s="138"/>
      <c r="O47" s="138"/>
      <c r="P47" s="139"/>
      <c r="Q47" s="139"/>
      <c r="R47" s="139"/>
      <c r="S47" s="139"/>
      <c r="T47" s="139"/>
      <c r="U47" s="139"/>
    </row>
    <row r="48" spans="1:21" x14ac:dyDescent="0.3">
      <c r="A48" s="258" t="s">
        <v>41</v>
      </c>
      <c r="B48" s="279" t="s">
        <v>46</v>
      </c>
      <c r="C48" s="280"/>
      <c r="D48" s="280"/>
      <c r="E48" s="61"/>
      <c r="F48" s="177"/>
      <c r="G48" s="139"/>
      <c r="H48" s="139"/>
      <c r="I48" s="139"/>
      <c r="J48" s="139"/>
      <c r="K48" s="156" t="s">
        <v>117</v>
      </c>
      <c r="L48" s="156">
        <f>(SUM(L6:L45))/(EINGABEN!D46)</f>
        <v>127.31550385691294</v>
      </c>
      <c r="M48" s="156"/>
      <c r="N48" s="139"/>
      <c r="O48" s="139"/>
      <c r="P48" s="139"/>
      <c r="Q48" s="139"/>
      <c r="R48" s="139"/>
      <c r="S48" s="139"/>
      <c r="T48" s="139"/>
      <c r="U48" s="139"/>
    </row>
    <row r="49" spans="1:21" ht="15" thickBot="1" x14ac:dyDescent="0.35">
      <c r="A49" s="221" t="s">
        <v>39</v>
      </c>
      <c r="B49" s="222"/>
      <c r="C49" s="222"/>
      <c r="D49" s="222"/>
      <c r="E49" s="222"/>
      <c r="F49" s="196"/>
      <c r="G49" s="139"/>
      <c r="H49" s="139"/>
      <c r="I49" s="139"/>
      <c r="J49" s="139"/>
      <c r="K49" s="139"/>
      <c r="L49" s="139"/>
      <c r="M49" s="139"/>
      <c r="N49" s="139"/>
      <c r="O49" s="139"/>
      <c r="P49" s="139"/>
      <c r="Q49" s="139"/>
      <c r="R49" s="139"/>
      <c r="S49" s="139"/>
      <c r="T49" s="139"/>
      <c r="U49" s="139"/>
    </row>
    <row r="50" spans="1:21" ht="15" thickTop="1" x14ac:dyDescent="0.3">
      <c r="A50" s="223"/>
      <c r="B50" s="213"/>
      <c r="C50" s="213"/>
      <c r="D50" s="213"/>
      <c r="E50" s="213"/>
      <c r="F50" s="224"/>
      <c r="G50" s="139"/>
      <c r="H50" s="139"/>
      <c r="I50" s="139"/>
      <c r="J50" s="139"/>
      <c r="K50" s="139"/>
      <c r="L50" s="139"/>
      <c r="M50" s="139"/>
      <c r="N50" s="139"/>
      <c r="O50" s="139"/>
      <c r="P50" s="139"/>
      <c r="Q50" s="139"/>
      <c r="R50" s="139"/>
      <c r="S50" s="139"/>
      <c r="T50" s="139"/>
      <c r="U50" s="139"/>
    </row>
    <row r="51" spans="1:21" x14ac:dyDescent="0.3">
      <c r="A51" s="175"/>
      <c r="B51" s="61"/>
      <c r="C51" s="61"/>
      <c r="D51" s="61"/>
      <c r="E51" s="61"/>
      <c r="F51" s="177"/>
      <c r="G51" s="139"/>
      <c r="H51" s="139"/>
      <c r="I51" s="139"/>
      <c r="J51" s="139"/>
      <c r="K51" s="139"/>
      <c r="L51" s="139"/>
      <c r="M51" s="139"/>
      <c r="N51" s="139"/>
      <c r="O51" s="139"/>
      <c r="P51" s="139"/>
      <c r="Q51" s="139"/>
      <c r="R51" s="139"/>
      <c r="S51" s="139"/>
      <c r="T51" s="139"/>
      <c r="U51" s="139"/>
    </row>
    <row r="52" spans="1:21" x14ac:dyDescent="0.3">
      <c r="A52" s="225" t="s">
        <v>11</v>
      </c>
      <c r="B52" s="226"/>
      <c r="C52" s="164">
        <f>IF(MIN(EINGABEN!C6:'EINGABEN'!C45)&lt;1,"keine Lösung",IF(D59=0,0,ROUND((2.71828183^((E4-(C54*D4))/(C4))),6)))</f>
        <v>0.82721500000000003</v>
      </c>
      <c r="D52" s="61"/>
      <c r="E52" s="61"/>
      <c r="F52" s="177"/>
      <c r="G52" s="139"/>
      <c r="H52" s="139"/>
      <c r="I52" s="139"/>
      <c r="J52" s="139"/>
      <c r="K52" s="139"/>
      <c r="L52" s="139"/>
      <c r="M52" s="139"/>
      <c r="N52" s="139"/>
      <c r="O52" s="139"/>
      <c r="P52" s="139"/>
      <c r="Q52" s="139"/>
      <c r="R52" s="139"/>
      <c r="S52" s="139"/>
      <c r="T52" s="139"/>
      <c r="U52" s="139"/>
    </row>
    <row r="53" spans="1:21" x14ac:dyDescent="0.3">
      <c r="A53" s="227"/>
      <c r="B53" s="195"/>
      <c r="C53" s="195"/>
      <c r="D53" s="61"/>
      <c r="E53" s="61"/>
      <c r="F53" s="177"/>
      <c r="G53" s="139"/>
      <c r="H53" s="139"/>
      <c r="I53" s="139"/>
      <c r="J53" s="139"/>
      <c r="K53" s="139"/>
      <c r="L53" s="139"/>
      <c r="M53" s="139"/>
      <c r="N53" s="139"/>
      <c r="O53" s="139"/>
      <c r="P53" s="139"/>
      <c r="Q53" s="139"/>
      <c r="R53" s="139"/>
      <c r="S53" s="139"/>
      <c r="T53" s="139"/>
      <c r="U53" s="139"/>
    </row>
    <row r="54" spans="1:21" x14ac:dyDescent="0.3">
      <c r="A54" s="228" t="s">
        <v>12</v>
      </c>
      <c r="B54" s="195"/>
      <c r="C54" s="195">
        <f>IF(MIN(EINGABEN!C6:'EINGABEN'!C45)&lt;1,"keine Lösung",IF(D59=0,0,ROUND((C4*G4-D4*E4)/(C4*H4-(D4)^2),6)))</f>
        <v>0.74471500000000002</v>
      </c>
      <c r="D54" s="61"/>
      <c r="E54" s="61"/>
      <c r="F54" s="177"/>
      <c r="G54" s="139"/>
      <c r="H54" s="139"/>
      <c r="I54" s="139"/>
      <c r="J54" s="139"/>
      <c r="K54" s="139"/>
      <c r="L54" s="139"/>
      <c r="M54" s="139"/>
      <c r="N54" s="139"/>
      <c r="O54" s="139"/>
      <c r="P54" s="139"/>
      <c r="Q54" s="139"/>
      <c r="R54" s="139"/>
      <c r="S54" s="139"/>
      <c r="T54" s="139"/>
      <c r="U54" s="139"/>
    </row>
    <row r="55" spans="1:21" x14ac:dyDescent="0.3">
      <c r="A55" s="227"/>
      <c r="B55" s="195"/>
      <c r="C55" s="195"/>
      <c r="D55" s="61"/>
      <c r="E55" s="61"/>
      <c r="F55" s="177"/>
      <c r="G55" s="139"/>
      <c r="H55" s="139"/>
      <c r="I55" s="139"/>
      <c r="J55" s="139"/>
      <c r="K55" s="139"/>
      <c r="L55" s="139"/>
      <c r="M55" s="139"/>
      <c r="N55" s="139"/>
      <c r="O55" s="139"/>
      <c r="P55" s="139"/>
      <c r="Q55" s="139"/>
      <c r="R55" s="139"/>
      <c r="S55" s="139"/>
      <c r="T55" s="139"/>
      <c r="U55" s="139"/>
    </row>
    <row r="56" spans="1:21" x14ac:dyDescent="0.3">
      <c r="A56" s="228" t="s">
        <v>13</v>
      </c>
      <c r="B56" s="195"/>
      <c r="C56" s="195">
        <f>IF(MIN(EINGABEN!C6:'EINGABEN'!C45)&lt;1,"keine Lösung",IF(D59=0,0,IF(D58/D59&gt;1,1,ROUND(ABS(D58/D59),6))))</f>
        <v>0.96371899999999999</v>
      </c>
      <c r="D56" s="61"/>
      <c r="E56" s="61"/>
      <c r="F56" s="177"/>
      <c r="G56" s="139"/>
      <c r="H56" s="139"/>
      <c r="I56" s="139"/>
      <c r="J56" s="139"/>
      <c r="K56" s="139"/>
      <c r="L56" s="139"/>
      <c r="M56" s="139"/>
      <c r="N56" s="139"/>
      <c r="O56" s="139"/>
      <c r="P56" s="139"/>
      <c r="Q56" s="139"/>
      <c r="R56" s="139"/>
      <c r="S56" s="139"/>
      <c r="T56" s="139"/>
      <c r="U56" s="139"/>
    </row>
    <row r="57" spans="1:21" ht="15" thickBot="1" x14ac:dyDescent="0.35">
      <c r="A57" s="221"/>
      <c r="B57" s="222"/>
      <c r="C57" s="222"/>
      <c r="D57" s="222"/>
      <c r="E57" s="222"/>
      <c r="F57" s="196"/>
      <c r="G57" s="139"/>
      <c r="H57" s="139"/>
      <c r="I57" s="139"/>
      <c r="J57" s="139"/>
      <c r="K57" s="139"/>
      <c r="L57" s="139"/>
      <c r="M57" s="139"/>
      <c r="N57" s="139"/>
      <c r="O57" s="139"/>
      <c r="P57" s="139"/>
      <c r="Q57" s="139"/>
      <c r="R57" s="139"/>
      <c r="S57" s="139"/>
      <c r="T57" s="139"/>
      <c r="U57" s="139"/>
    </row>
    <row r="58" spans="1:21" ht="15" thickTop="1" x14ac:dyDescent="0.3">
      <c r="A58" s="228" t="s">
        <v>14</v>
      </c>
      <c r="B58" s="50"/>
      <c r="C58" s="171" t="s">
        <v>19</v>
      </c>
      <c r="D58" s="172">
        <f>(C4*G4-(D4*E4))</f>
        <v>39.625979999999998</v>
      </c>
      <c r="E58" s="202" t="s">
        <v>71</v>
      </c>
      <c r="F58" s="177"/>
      <c r="G58" s="139"/>
      <c r="H58" s="139"/>
      <c r="I58" s="139"/>
      <c r="J58" s="139"/>
      <c r="K58" s="139"/>
      <c r="L58" s="139"/>
      <c r="M58" s="139"/>
      <c r="N58" s="139"/>
      <c r="O58" s="139"/>
      <c r="P58" s="139"/>
      <c r="Q58" s="139"/>
      <c r="R58" s="139"/>
      <c r="S58" s="139"/>
      <c r="T58" s="139"/>
      <c r="U58" s="139"/>
    </row>
    <row r="59" spans="1:21" x14ac:dyDescent="0.3">
      <c r="A59" s="229"/>
      <c r="B59" s="50"/>
      <c r="C59" s="171" t="s">
        <v>20</v>
      </c>
      <c r="D59" s="173">
        <f>((C4*H4-(D4)^2)*(C4*I4-(E4)^2))^0.5</f>
        <v>41.117762179141039</v>
      </c>
      <c r="E59" s="202" t="s">
        <v>71</v>
      </c>
      <c r="F59" s="177"/>
      <c r="G59" s="139"/>
      <c r="H59" s="139"/>
      <c r="I59" s="139"/>
      <c r="J59" s="139"/>
      <c r="K59" s="139"/>
      <c r="L59" s="139"/>
      <c r="M59" s="139"/>
      <c r="N59" s="139"/>
      <c r="O59" s="139"/>
      <c r="P59" s="139"/>
      <c r="Q59" s="139"/>
      <c r="R59" s="139"/>
      <c r="S59" s="139"/>
      <c r="T59" s="139"/>
      <c r="U59" s="139"/>
    </row>
    <row r="60" spans="1:21" x14ac:dyDescent="0.3">
      <c r="A60" s="175"/>
      <c r="B60" s="61"/>
      <c r="C60" s="277" t="s">
        <v>110</v>
      </c>
      <c r="D60" s="278"/>
      <c r="E60" s="182">
        <f>IF(EINGABEN!D46&lt;10,"Anzahl zu klein",ROUND((E61*(1+E64/100)),2))</f>
        <v>478.36</v>
      </c>
      <c r="F60" s="177"/>
      <c r="G60" s="139"/>
      <c r="H60" s="139"/>
      <c r="I60" s="139"/>
      <c r="J60" s="139"/>
      <c r="K60" s="139"/>
      <c r="L60" s="139"/>
      <c r="M60" s="139"/>
      <c r="N60" s="139"/>
      <c r="O60" s="139"/>
      <c r="P60" s="139"/>
      <c r="Q60" s="139"/>
      <c r="R60" s="139"/>
      <c r="S60" s="139"/>
      <c r="T60" s="139"/>
      <c r="U60" s="139"/>
    </row>
    <row r="61" spans="1:21" x14ac:dyDescent="0.3">
      <c r="A61" s="30" t="s">
        <v>15</v>
      </c>
      <c r="B61" s="187">
        <v>10</v>
      </c>
      <c r="C61" s="230" t="s">
        <v>16</v>
      </c>
      <c r="D61" s="195" t="s">
        <v>72</v>
      </c>
      <c r="E61" s="180">
        <f>IF(MIN(EINGABEN!C6:'EINGABEN'!C45)&lt;1,"keine Lösung",IF(C56=0,0,ROUND((2.7182813^(C52*B61^C54)),2)))</f>
        <v>99.04</v>
      </c>
      <c r="F61" s="177"/>
      <c r="G61" s="139"/>
      <c r="H61" s="139"/>
      <c r="I61" s="139"/>
      <c r="J61" s="139"/>
      <c r="K61" s="139"/>
      <c r="L61" s="139"/>
      <c r="M61" s="139"/>
      <c r="N61" s="139"/>
      <c r="O61" s="139"/>
      <c r="P61" s="139"/>
      <c r="Q61" s="139"/>
      <c r="R61" s="139"/>
      <c r="S61" s="139"/>
      <c r="T61" s="139"/>
      <c r="U61" s="139"/>
    </row>
    <row r="62" spans="1:21" x14ac:dyDescent="0.3">
      <c r="A62" s="229" t="s">
        <v>63</v>
      </c>
      <c r="B62" s="50" t="s">
        <v>108</v>
      </c>
      <c r="C62" s="277" t="s">
        <v>111</v>
      </c>
      <c r="D62" s="278"/>
      <c r="E62" s="182">
        <f>IF(EINGABEN!D46&lt;10,"Anzahl zu klein",ROUND((E61*(1-E64/100)),2))</f>
        <v>-280.27999999999997</v>
      </c>
      <c r="F62" s="177"/>
      <c r="G62" s="139"/>
      <c r="H62" s="139"/>
      <c r="I62" s="139"/>
      <c r="J62" s="139"/>
      <c r="K62" s="139"/>
      <c r="L62" s="139"/>
      <c r="M62" s="139"/>
      <c r="N62" s="139"/>
      <c r="O62" s="139"/>
      <c r="P62" s="139"/>
      <c r="Q62" s="139"/>
      <c r="R62" s="139"/>
      <c r="S62" s="139"/>
      <c r="T62" s="139"/>
      <c r="U62" s="139"/>
    </row>
    <row r="63" spans="1:21" x14ac:dyDescent="0.3">
      <c r="A63" s="30" t="s">
        <v>17</v>
      </c>
      <c r="B63" s="187">
        <v>99.04</v>
      </c>
      <c r="C63" s="230" t="s">
        <v>16</v>
      </c>
      <c r="D63" s="195" t="s">
        <v>70</v>
      </c>
      <c r="E63" s="180">
        <f>IF(MIN(EINGABEN!C6:'EINGABEN'!C45)&lt;1,"keine Lösung",IF(C56=0,0,ROUND((LN(B63)/C52)^(1/C54),2)))</f>
        <v>10</v>
      </c>
      <c r="F63" s="177"/>
      <c r="G63" s="139"/>
      <c r="H63" s="139"/>
      <c r="I63" s="139"/>
      <c r="J63" s="139"/>
      <c r="K63" s="139"/>
      <c r="L63" s="139"/>
      <c r="M63" s="139"/>
      <c r="N63" s="139"/>
      <c r="O63" s="139"/>
      <c r="P63" s="139"/>
      <c r="Q63" s="139"/>
      <c r="R63" s="139"/>
      <c r="S63" s="139"/>
      <c r="T63" s="139"/>
      <c r="U63" s="139"/>
    </row>
    <row r="64" spans="1:21" ht="15" thickBot="1" x14ac:dyDescent="0.35">
      <c r="A64" s="221" t="s">
        <v>132</v>
      </c>
      <c r="B64" s="205">
        <f>IF(MIN(EINGABEN!C6:'EINGABEN'!C45)&lt;1,"keine Lösung",IF(C56=0,0,ROUND((2.7182813^(C52*1^C54)),2)))</f>
        <v>2.29</v>
      </c>
      <c r="C64" s="273" t="s">
        <v>119</v>
      </c>
      <c r="D64" s="273"/>
      <c r="E64" s="185">
        <f>IF(EINGABEN!D46&lt;10,"Anzahl zu klein",ROUND((((2.868009*(LN(LN(EINGABEN!D46)))^-2.421118)*M46)/L48)*100,0))</f>
        <v>383</v>
      </c>
      <c r="F64" s="196"/>
      <c r="G64" s="139"/>
      <c r="H64" s="139"/>
      <c r="I64" s="139"/>
      <c r="J64" s="139"/>
      <c r="K64" s="139"/>
      <c r="L64" s="139"/>
      <c r="M64" s="139"/>
      <c r="N64" s="139"/>
      <c r="O64" s="139"/>
      <c r="P64" s="139"/>
      <c r="Q64" s="139"/>
      <c r="R64" s="139"/>
      <c r="S64" s="139"/>
      <c r="T64" s="139"/>
      <c r="U64" s="139"/>
    </row>
    <row r="65" spans="3:4" ht="15" thickTop="1" x14ac:dyDescent="0.3">
      <c r="C65" s="213"/>
      <c r="D65" s="213"/>
    </row>
  </sheetData>
  <sheetProtection algorithmName="SHA-512" hashValue="JdJajV31G9qXrvVxaDu3upYOOCNhQrdMaLpaWqFCttKBOwm0dLsOHsPR8XLhsogyBaXbVSb5cK48qurN+KBFwg==" saltValue="Q5KxxPedPR3c3UKZ5Sghtg==" spinCount="100000" sheet="1" objects="1" scenarios="1"/>
  <mergeCells count="5">
    <mergeCell ref="A4:B4"/>
    <mergeCell ref="B48:D48"/>
    <mergeCell ref="C60:D60"/>
    <mergeCell ref="C62:D62"/>
    <mergeCell ref="C64:D64"/>
  </mergeCells>
  <dataValidations count="3">
    <dataValidation showInputMessage="1" showErrorMessage="1" sqref="A6:A45 B6:B9" xr:uid="{00000000-0002-0000-0800-000000000000}"/>
    <dataValidation type="decimal" operator="greaterThanOrEqual" allowBlank="1" showInputMessage="1" showErrorMessage="1" sqref="B63" xr:uid="{28764AF3-266D-450E-A045-599B0C4DE632}">
      <formula1>B64</formula1>
    </dataValidation>
    <dataValidation type="decimal" operator="greaterThanOrEqual" allowBlank="1" showInputMessage="1" showErrorMessage="1" sqref="B61" xr:uid="{9B65390F-C2B4-4C9F-B73A-4FE9860DAC86}">
      <formula1>1</formula1>
    </dataValidation>
  </dataValidations>
  <pageMargins left="0.7" right="0.7" top="0.78740157499999996" bottom="0.78740157499999996" header="0.3" footer="0.3"/>
  <pageSetup paperSize="9"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10</vt:i4>
      </vt:variant>
      <vt:variant>
        <vt:lpstr>Benannte Bereiche</vt:lpstr>
      </vt:variant>
      <vt:variant>
        <vt:i4>10</vt:i4>
      </vt:variant>
    </vt:vector>
  </HeadingPairs>
  <TitlesOfParts>
    <vt:vector size="20" baseType="lpstr">
      <vt:lpstr>EINGABEN</vt:lpstr>
      <vt:lpstr>FALL 1</vt:lpstr>
      <vt:lpstr>FALL 2</vt:lpstr>
      <vt:lpstr>FALL 5</vt:lpstr>
      <vt:lpstr>FALL 7</vt:lpstr>
      <vt:lpstr>FALL 8</vt:lpstr>
      <vt:lpstr>FALL 9</vt:lpstr>
      <vt:lpstr>FALL 10</vt:lpstr>
      <vt:lpstr>FALL 11</vt:lpstr>
      <vt:lpstr>FALL 12</vt:lpstr>
      <vt:lpstr>EINGABEN!Druckbereich</vt:lpstr>
      <vt:lpstr>'FALL 1'!Druckbereich</vt:lpstr>
      <vt:lpstr>'FALL 10'!Druckbereich</vt:lpstr>
      <vt:lpstr>'FALL 11'!Druckbereich</vt:lpstr>
      <vt:lpstr>'FALL 12'!Druckbereich</vt:lpstr>
      <vt:lpstr>'FALL 2'!Druckbereich</vt:lpstr>
      <vt:lpstr>'FALL 5'!Druckbereich</vt:lpstr>
      <vt:lpstr>'FALL 7'!Druckbereich</vt:lpstr>
      <vt:lpstr>'FALL 8'!Druckbereich</vt:lpstr>
      <vt:lpstr>'FALL 9'!Druckbereich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Heinz</dc:creator>
  <cp:lastModifiedBy>Heinz</cp:lastModifiedBy>
  <cp:lastPrinted>2018-10-12T15:02:12Z</cp:lastPrinted>
  <dcterms:created xsi:type="dcterms:W3CDTF">2015-01-14T11:09:00Z</dcterms:created>
  <dcterms:modified xsi:type="dcterms:W3CDTF">2018-10-12T17:06:40Z</dcterms:modified>
</cp:coreProperties>
</file>