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Heinz\SkyDrive\Corona R - Zahlen bis 21.12.2020\Desktop\"/>
    </mc:Choice>
  </mc:AlternateContent>
  <xr:revisionPtr revIDLastSave="0" documentId="13_ncr:1_{69B51B50-80F6-482F-A7DC-1A531624897A}" xr6:coauthVersionLast="47" xr6:coauthVersionMax="47" xr10:uidLastSave="{00000000-0000-0000-0000-000000000000}"/>
  <bookViews>
    <workbookView xWindow="-108" yWindow="-108" windowWidth="23256" windowHeight="12576" firstSheet="1" activeTab="1" xr2:uid="{00E9D226-C6A6-4A07-BC99-0D579A3FA471}"/>
  </bookViews>
  <sheets>
    <sheet name="Tabelle1" sheetId="1" state="hidden" r:id="rId1"/>
    <sheet name="ANLASS" sheetId="6" r:id="rId2"/>
    <sheet name="ÜBERTRAG UND KONTROLLE" sheetId="3" r:id="rId3"/>
    <sheet name="PRO MEMORIA" sheetId="7" r:id="rId4"/>
    <sheet name="UNGESCHÜTZT UND OFFEN" sheetId="5" state="hidden" r:id="rId5"/>
  </sheets>
  <definedNames>
    <definedName name="_Hlk123379452" localSheetId="3">'PRO MEMORIA'!$C$8</definedName>
    <definedName name="_xlnm.Print_Area" localSheetId="1">ANLASS!$A$1:$H$63</definedName>
    <definedName name="_xlnm.Print_Area" localSheetId="3">'PRO MEMORIA'!$A$1:$H$49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3" l="1"/>
  <c r="G236" i="5"/>
  <c r="G235" i="5"/>
  <c r="G234" i="5"/>
  <c r="G232" i="5"/>
  <c r="G231" i="5"/>
  <c r="G229" i="5"/>
  <c r="G228" i="5"/>
  <c r="G226" i="5"/>
  <c r="G225" i="5"/>
  <c r="G223" i="5"/>
  <c r="G222" i="5"/>
  <c r="G220" i="5"/>
  <c r="G219" i="5"/>
  <c r="G217" i="5"/>
  <c r="G216" i="5"/>
  <c r="G214" i="5"/>
  <c r="G213" i="5"/>
  <c r="G211" i="5"/>
  <c r="G210" i="5"/>
  <c r="G208" i="5"/>
  <c r="G207" i="5"/>
  <c r="G205" i="5"/>
  <c r="G204" i="5"/>
  <c r="G202" i="5"/>
  <c r="G201" i="5"/>
  <c r="G199" i="5"/>
  <c r="G198" i="5"/>
  <c r="G196" i="5"/>
  <c r="G195" i="5"/>
  <c r="G193" i="5"/>
  <c r="G192" i="5"/>
  <c r="G190" i="5"/>
  <c r="G189" i="5"/>
  <c r="G187" i="5"/>
  <c r="G186" i="5"/>
  <c r="G184" i="5"/>
  <c r="G183" i="5"/>
  <c r="G181" i="5"/>
  <c r="G180" i="5"/>
  <c r="G178" i="5"/>
  <c r="G177" i="5"/>
  <c r="G175" i="5"/>
  <c r="G174" i="5"/>
  <c r="G172" i="5"/>
  <c r="G171" i="5"/>
  <c r="G169" i="5"/>
  <c r="G168" i="5"/>
  <c r="G166" i="5"/>
  <c r="G165" i="5"/>
  <c r="G163" i="5"/>
  <c r="G162" i="5"/>
  <c r="G160" i="5"/>
  <c r="G159" i="5"/>
  <c r="G157" i="5"/>
  <c r="G156" i="5"/>
  <c r="G154" i="5"/>
  <c r="G153" i="5"/>
  <c r="G151" i="5"/>
  <c r="G150" i="5"/>
  <c r="G148" i="5"/>
  <c r="G147" i="5"/>
  <c r="G145" i="5"/>
  <c r="G144" i="5"/>
  <c r="G142" i="5"/>
  <c r="G141" i="5"/>
  <c r="G139" i="5"/>
  <c r="G138" i="5"/>
  <c r="G136" i="5"/>
  <c r="G135" i="5"/>
  <c r="G133" i="5"/>
  <c r="G132" i="5"/>
  <c r="G130" i="5"/>
  <c r="G129" i="5"/>
  <c r="G127" i="5"/>
  <c r="G126" i="5"/>
  <c r="G124" i="5"/>
  <c r="G123" i="5"/>
  <c r="G121" i="5"/>
  <c r="G120" i="5"/>
  <c r="G118" i="5"/>
  <c r="G117" i="5"/>
  <c r="G115" i="5"/>
  <c r="G114" i="5"/>
  <c r="G112" i="5"/>
  <c r="G111" i="5"/>
  <c r="G109" i="5"/>
  <c r="G108" i="5"/>
  <c r="G106" i="5"/>
  <c r="G105" i="5"/>
  <c r="G103" i="5"/>
  <c r="G102" i="5"/>
  <c r="G100" i="5"/>
  <c r="G99" i="5"/>
  <c r="G97" i="5"/>
  <c r="G96" i="5"/>
  <c r="G94" i="5"/>
  <c r="G93" i="5"/>
  <c r="G91" i="5"/>
  <c r="G90" i="5"/>
  <c r="G88" i="5"/>
  <c r="G87" i="5"/>
  <c r="G85" i="5"/>
  <c r="G84" i="5"/>
  <c r="G82" i="5"/>
  <c r="G81" i="5"/>
  <c r="G79" i="5"/>
  <c r="G78" i="5"/>
  <c r="G76" i="5"/>
  <c r="G75" i="5"/>
  <c r="G73" i="5"/>
  <c r="G72" i="5"/>
  <c r="G70" i="5"/>
  <c r="G69" i="5"/>
  <c r="D60" i="5"/>
  <c r="D56" i="5"/>
  <c r="K54" i="5"/>
  <c r="I54" i="5"/>
  <c r="M54" i="5" s="1"/>
  <c r="H54" i="5"/>
  <c r="J54" i="5" s="1"/>
  <c r="K53" i="5"/>
  <c r="I53" i="5"/>
  <c r="M53" i="5" s="1"/>
  <c r="H53" i="5"/>
  <c r="J53" i="5" s="1"/>
  <c r="K52" i="5"/>
  <c r="I52" i="5"/>
  <c r="M52" i="5" s="1"/>
  <c r="H52" i="5"/>
  <c r="J52" i="5" s="1"/>
  <c r="K51" i="5"/>
  <c r="I51" i="5"/>
  <c r="M51" i="5" s="1"/>
  <c r="H51" i="5"/>
  <c r="J51" i="5" s="1"/>
  <c r="K50" i="5"/>
  <c r="I50" i="5"/>
  <c r="M50" i="5" s="1"/>
  <c r="H50" i="5"/>
  <c r="J50" i="5" s="1"/>
  <c r="K49" i="5"/>
  <c r="I49" i="5"/>
  <c r="M49" i="5" s="1"/>
  <c r="H49" i="5"/>
  <c r="J49" i="5" s="1"/>
  <c r="K48" i="5"/>
  <c r="I48" i="5"/>
  <c r="M48" i="5" s="1"/>
  <c r="H48" i="5"/>
  <c r="J48" i="5" s="1"/>
  <c r="K47" i="5"/>
  <c r="I47" i="5"/>
  <c r="M47" i="5" s="1"/>
  <c r="H47" i="5"/>
  <c r="J47" i="5" s="1"/>
  <c r="B43" i="5"/>
  <c r="B42" i="5"/>
  <c r="B41" i="5"/>
  <c r="B40" i="5"/>
  <c r="B39" i="5"/>
  <c r="B38" i="5"/>
  <c r="B37" i="5"/>
  <c r="B36" i="5"/>
  <c r="I54" i="3"/>
  <c r="H54" i="3"/>
  <c r="M54" i="3" s="1"/>
  <c r="B43" i="3"/>
  <c r="G53" i="3"/>
  <c r="F53" i="3" s="1"/>
  <c r="I53" i="3"/>
  <c r="H53" i="3"/>
  <c r="M53" i="3" s="1"/>
  <c r="B42" i="3"/>
  <c r="M52" i="3"/>
  <c r="L52" i="3"/>
  <c r="I52" i="3"/>
  <c r="H52" i="3"/>
  <c r="K52" i="3" s="1"/>
  <c r="B41" i="3"/>
  <c r="L51" i="3"/>
  <c r="K51" i="3"/>
  <c r="I51" i="3"/>
  <c r="H51" i="3"/>
  <c r="M51" i="3" s="1"/>
  <c r="B40" i="3"/>
  <c r="I50" i="3"/>
  <c r="H50" i="3"/>
  <c r="M50" i="3" s="1"/>
  <c r="B39" i="3"/>
  <c r="I49" i="3"/>
  <c r="H49" i="3"/>
  <c r="M49" i="3" s="1"/>
  <c r="B38" i="3"/>
  <c r="I48" i="3"/>
  <c r="H48" i="3"/>
  <c r="M48" i="3" s="1"/>
  <c r="B37" i="3"/>
  <c r="I47" i="3"/>
  <c r="H47" i="3"/>
  <c r="M47" i="3" s="1"/>
  <c r="B36" i="3"/>
  <c r="C146" i="1"/>
  <c r="G236" i="3"/>
  <c r="G235" i="3"/>
  <c r="G234" i="3"/>
  <c r="G232" i="3"/>
  <c r="G231" i="3"/>
  <c r="G229" i="3"/>
  <c r="G228" i="3"/>
  <c r="G226" i="3"/>
  <c r="G225" i="3"/>
  <c r="G223" i="3"/>
  <c r="G222" i="3"/>
  <c r="G220" i="3"/>
  <c r="G219" i="3"/>
  <c r="G217" i="3"/>
  <c r="G216" i="3"/>
  <c r="G214" i="3"/>
  <c r="G213" i="3"/>
  <c r="G211" i="3"/>
  <c r="G210" i="3"/>
  <c r="G208" i="3"/>
  <c r="G207" i="3"/>
  <c r="G205" i="3"/>
  <c r="G204" i="3"/>
  <c r="G202" i="3"/>
  <c r="G201" i="3"/>
  <c r="G199" i="3"/>
  <c r="G198" i="3"/>
  <c r="G196" i="3"/>
  <c r="G195" i="3"/>
  <c r="G193" i="3"/>
  <c r="G192" i="3"/>
  <c r="G190" i="3"/>
  <c r="G189" i="3"/>
  <c r="G187" i="3"/>
  <c r="G186" i="3"/>
  <c r="G184" i="3"/>
  <c r="G183" i="3"/>
  <c r="G181" i="3"/>
  <c r="G180" i="3"/>
  <c r="G178" i="3"/>
  <c r="G177" i="3"/>
  <c r="G175" i="3"/>
  <c r="G174" i="3"/>
  <c r="G172" i="3"/>
  <c r="G171" i="3"/>
  <c r="G169" i="3"/>
  <c r="G168" i="3"/>
  <c r="G166" i="3"/>
  <c r="G165" i="3"/>
  <c r="G163" i="3"/>
  <c r="G162" i="3"/>
  <c r="G160" i="3"/>
  <c r="G159" i="3"/>
  <c r="G157" i="3"/>
  <c r="G156" i="3"/>
  <c r="G154" i="3"/>
  <c r="G153" i="3"/>
  <c r="G151" i="3"/>
  <c r="G150" i="3"/>
  <c r="G148" i="3"/>
  <c r="G147" i="3"/>
  <c r="G145" i="3"/>
  <c r="G144" i="3"/>
  <c r="G142" i="3"/>
  <c r="G141" i="3"/>
  <c r="G139" i="3"/>
  <c r="G138" i="3"/>
  <c r="G136" i="3"/>
  <c r="G135" i="3"/>
  <c r="G133" i="3"/>
  <c r="G132" i="3"/>
  <c r="G130" i="3"/>
  <c r="G129" i="3"/>
  <c r="G127" i="3"/>
  <c r="G126" i="3"/>
  <c r="G124" i="3"/>
  <c r="G123" i="3"/>
  <c r="G121" i="3"/>
  <c r="G120" i="3"/>
  <c r="G118" i="3"/>
  <c r="G117" i="3"/>
  <c r="G115" i="3"/>
  <c r="G114" i="3"/>
  <c r="G112" i="3"/>
  <c r="G111" i="3"/>
  <c r="G109" i="3"/>
  <c r="G108" i="3"/>
  <c r="G106" i="3"/>
  <c r="G105" i="3"/>
  <c r="G103" i="3"/>
  <c r="G102" i="3"/>
  <c r="G100" i="3"/>
  <c r="G99" i="3"/>
  <c r="G97" i="3"/>
  <c r="G96" i="3"/>
  <c r="G94" i="3"/>
  <c r="G93" i="3"/>
  <c r="G91" i="3"/>
  <c r="G90" i="3"/>
  <c r="G88" i="3"/>
  <c r="G87" i="3"/>
  <c r="G85" i="3"/>
  <c r="G84" i="3"/>
  <c r="G82" i="3"/>
  <c r="G81" i="3"/>
  <c r="G79" i="3"/>
  <c r="G78" i="3"/>
  <c r="G76" i="3"/>
  <c r="G75" i="3"/>
  <c r="G73" i="3"/>
  <c r="G72" i="3"/>
  <c r="G70" i="3"/>
  <c r="G69" i="3"/>
  <c r="D60" i="3"/>
  <c r="D56" i="3"/>
  <c r="B169" i="1"/>
  <c r="G232" i="1"/>
  <c r="G231" i="1"/>
  <c r="G229" i="1"/>
  <c r="G228" i="1"/>
  <c r="G226" i="1"/>
  <c r="G225" i="1"/>
  <c r="G223" i="1"/>
  <c r="G222" i="1"/>
  <c r="G220" i="1"/>
  <c r="G219" i="1"/>
  <c r="G217" i="1"/>
  <c r="G216" i="1"/>
  <c r="G214" i="1"/>
  <c r="G213" i="1"/>
  <c r="G211" i="1"/>
  <c r="G210" i="1"/>
  <c r="G208" i="1"/>
  <c r="G207" i="1"/>
  <c r="G205" i="1"/>
  <c r="G204" i="1"/>
  <c r="G202" i="1"/>
  <c r="G201" i="1"/>
  <c r="G199" i="1"/>
  <c r="G198" i="1"/>
  <c r="G196" i="1"/>
  <c r="G195" i="1"/>
  <c r="G193" i="1"/>
  <c r="G192" i="1"/>
  <c r="G190" i="1"/>
  <c r="G189" i="1"/>
  <c r="G187" i="1"/>
  <c r="G186" i="1"/>
  <c r="G184" i="1"/>
  <c r="G183" i="1"/>
  <c r="G181" i="1"/>
  <c r="G180" i="1"/>
  <c r="G178" i="1"/>
  <c r="G177" i="1"/>
  <c r="G175" i="1"/>
  <c r="G174" i="1"/>
  <c r="G172" i="1"/>
  <c r="G171" i="1"/>
  <c r="G169" i="1"/>
  <c r="G168" i="1"/>
  <c r="G166" i="1"/>
  <c r="G165" i="1"/>
  <c r="G163" i="1"/>
  <c r="G162" i="1"/>
  <c r="G160" i="1"/>
  <c r="G159" i="1"/>
  <c r="G157" i="1"/>
  <c r="G156" i="1"/>
  <c r="G154" i="1"/>
  <c r="G153" i="1"/>
  <c r="G151" i="1"/>
  <c r="G150" i="1"/>
  <c r="G148" i="1"/>
  <c r="G147" i="1"/>
  <c r="G145" i="1"/>
  <c r="G144" i="1"/>
  <c r="G142" i="1"/>
  <c r="G141" i="1"/>
  <c r="G139" i="1"/>
  <c r="G138" i="1"/>
  <c r="G136" i="1"/>
  <c r="G135" i="1"/>
  <c r="G133" i="1"/>
  <c r="G132" i="1"/>
  <c r="G130" i="1"/>
  <c r="G129" i="1"/>
  <c r="G127" i="1"/>
  <c r="G126" i="1"/>
  <c r="G124" i="1"/>
  <c r="G123" i="1"/>
  <c r="G121" i="1"/>
  <c r="G120" i="1"/>
  <c r="G118" i="1"/>
  <c r="G117" i="1"/>
  <c r="G115" i="1"/>
  <c r="G114" i="1"/>
  <c r="G112" i="1"/>
  <c r="G111" i="1"/>
  <c r="G109" i="1"/>
  <c r="G108" i="1"/>
  <c r="G106" i="1"/>
  <c r="G105" i="1"/>
  <c r="G103" i="1"/>
  <c r="G102" i="1"/>
  <c r="G100" i="1"/>
  <c r="G99" i="1"/>
  <c r="G97" i="1"/>
  <c r="G96" i="1"/>
  <c r="G94" i="1"/>
  <c r="G93" i="1"/>
  <c r="G91" i="1"/>
  <c r="G90" i="1"/>
  <c r="G88" i="1"/>
  <c r="G87" i="1"/>
  <c r="G85" i="1"/>
  <c r="G84" i="1"/>
  <c r="G82" i="1"/>
  <c r="G81" i="1"/>
  <c r="G79" i="1"/>
  <c r="G78" i="1"/>
  <c r="G76" i="1"/>
  <c r="G75" i="1"/>
  <c r="G73" i="1"/>
  <c r="G72" i="1"/>
  <c r="G70" i="1"/>
  <c r="G69" i="1"/>
  <c r="G236" i="1"/>
  <c r="G235" i="1"/>
  <c r="G234" i="1"/>
  <c r="C190" i="1"/>
  <c r="C191" i="1" s="1"/>
  <c r="C196" i="1"/>
  <c r="C197" i="1" s="1"/>
  <c r="C193" i="1"/>
  <c r="C194" i="1" s="1"/>
  <c r="B43" i="1"/>
  <c r="D60" i="1"/>
  <c r="D56" i="1"/>
  <c r="I54" i="1"/>
  <c r="H54" i="1"/>
  <c r="I53" i="1"/>
  <c r="H53" i="1"/>
  <c r="L53" i="1" s="1"/>
  <c r="M52" i="1"/>
  <c r="I52" i="1"/>
  <c r="H52" i="1"/>
  <c r="K52" i="1" s="1"/>
  <c r="M51" i="1"/>
  <c r="L51" i="1"/>
  <c r="I51" i="1"/>
  <c r="H51" i="1"/>
  <c r="M50" i="1"/>
  <c r="L50" i="1"/>
  <c r="I50" i="1"/>
  <c r="H50" i="1"/>
  <c r="K50" i="1" s="1"/>
  <c r="I49" i="1"/>
  <c r="J49" i="1" s="1"/>
  <c r="H49" i="1"/>
  <c r="I48" i="1"/>
  <c r="L48" i="1" s="1"/>
  <c r="H48" i="1"/>
  <c r="I47" i="1"/>
  <c r="H47" i="1"/>
  <c r="L47" i="1" s="1"/>
  <c r="E21" i="1"/>
  <c r="F21" i="1"/>
  <c r="F22" i="1"/>
  <c r="E22" i="1"/>
  <c r="D22" i="1"/>
  <c r="B36" i="1"/>
  <c r="B37" i="1"/>
  <c r="B38" i="1"/>
  <c r="B39" i="1"/>
  <c r="B40" i="1"/>
  <c r="B41" i="1"/>
  <c r="B42" i="1"/>
  <c r="G50" i="5" l="1"/>
  <c r="F50" i="5" s="1"/>
  <c r="L47" i="5"/>
  <c r="G47" i="5" s="1"/>
  <c r="F47" i="5" s="1"/>
  <c r="L48" i="5"/>
  <c r="G48" i="5" s="1"/>
  <c r="F48" i="5" s="1"/>
  <c r="L49" i="5"/>
  <c r="G49" i="5" s="1"/>
  <c r="F49" i="5" s="1"/>
  <c r="L50" i="5"/>
  <c r="L51" i="5"/>
  <c r="G51" i="5" s="1"/>
  <c r="F51" i="5" s="1"/>
  <c r="L52" i="5"/>
  <c r="G52" i="5" s="1"/>
  <c r="F52" i="5" s="1"/>
  <c r="L53" i="5"/>
  <c r="G53" i="5" s="1"/>
  <c r="F53" i="5" s="1"/>
  <c r="L54" i="5"/>
  <c r="G54" i="5" s="1"/>
  <c r="F54" i="5" s="1"/>
  <c r="J54" i="3"/>
  <c r="G54" i="3" s="1"/>
  <c r="F54" i="3" s="1"/>
  <c r="K54" i="3"/>
  <c r="L54" i="3"/>
  <c r="J53" i="3"/>
  <c r="K53" i="3"/>
  <c r="L53" i="3"/>
  <c r="J52" i="3"/>
  <c r="G52" i="3" s="1"/>
  <c r="F52" i="3" s="1"/>
  <c r="J51" i="3"/>
  <c r="G51" i="3" s="1"/>
  <c r="F51" i="3" s="1"/>
  <c r="J50" i="3"/>
  <c r="K50" i="3"/>
  <c r="L50" i="3"/>
  <c r="J49" i="3"/>
  <c r="G49" i="3" s="1"/>
  <c r="F49" i="3" s="1"/>
  <c r="K49" i="3"/>
  <c r="L49" i="3"/>
  <c r="J48" i="3"/>
  <c r="K48" i="3"/>
  <c r="L48" i="3"/>
  <c r="J47" i="3"/>
  <c r="K47" i="3"/>
  <c r="L47" i="3"/>
  <c r="K47" i="1"/>
  <c r="K49" i="1"/>
  <c r="J51" i="1"/>
  <c r="L49" i="1"/>
  <c r="G49" i="1" s="1"/>
  <c r="F49" i="1" s="1"/>
  <c r="M54" i="1"/>
  <c r="M49" i="1"/>
  <c r="J50" i="1"/>
  <c r="G50" i="1" s="1"/>
  <c r="F50" i="1" s="1"/>
  <c r="C217" i="1"/>
  <c r="C218" i="1" s="1"/>
  <c r="D197" i="1"/>
  <c r="D146" i="1"/>
  <c r="D194" i="1"/>
  <c r="D191" i="1"/>
  <c r="M48" i="1"/>
  <c r="K51" i="1"/>
  <c r="L52" i="1"/>
  <c r="M53" i="1"/>
  <c r="K48" i="1"/>
  <c r="J54" i="1"/>
  <c r="J48" i="1"/>
  <c r="G48" i="1" s="1"/>
  <c r="F48" i="1" s="1"/>
  <c r="J53" i="1"/>
  <c r="K54" i="1"/>
  <c r="J52" i="1"/>
  <c r="K53" i="1"/>
  <c r="L54" i="1"/>
  <c r="M47" i="1"/>
  <c r="J47" i="1"/>
  <c r="G47" i="1" s="1"/>
  <c r="F47" i="1" s="1"/>
  <c r="E160" i="5" l="1"/>
  <c r="E205" i="5"/>
  <c r="E193" i="5"/>
  <c r="E133" i="5"/>
  <c r="E178" i="5"/>
  <c r="B133" i="5"/>
  <c r="E163" i="5"/>
  <c r="B142" i="5"/>
  <c r="E208" i="5"/>
  <c r="E196" i="5"/>
  <c r="E217" i="5"/>
  <c r="E181" i="5"/>
  <c r="E142" i="5"/>
  <c r="E145" i="5" s="1"/>
  <c r="B106" i="5"/>
  <c r="E172" i="5"/>
  <c r="E154" i="5"/>
  <c r="E106" i="5"/>
  <c r="E211" i="5"/>
  <c r="E199" i="5"/>
  <c r="E220" i="5"/>
  <c r="E184" i="5"/>
  <c r="E148" i="5"/>
  <c r="B148" i="5"/>
  <c r="E226" i="5"/>
  <c r="E166" i="5"/>
  <c r="E151" i="5"/>
  <c r="E88" i="5"/>
  <c r="B88" i="5"/>
  <c r="E223" i="5"/>
  <c r="E187" i="5"/>
  <c r="E232" i="5"/>
  <c r="E229" i="5"/>
  <c r="E169" i="5"/>
  <c r="E214" i="5"/>
  <c r="E202" i="5"/>
  <c r="B169" i="5"/>
  <c r="B67" i="5"/>
  <c r="F58" i="5"/>
  <c r="E67" i="5"/>
  <c r="E175" i="5"/>
  <c r="E157" i="5"/>
  <c r="E121" i="5"/>
  <c r="E190" i="5"/>
  <c r="B121" i="5"/>
  <c r="G50" i="3"/>
  <c r="F50" i="3" s="1"/>
  <c r="E175" i="3" s="1"/>
  <c r="G48" i="3"/>
  <c r="F48" i="3" s="1"/>
  <c r="B88" i="3" s="1"/>
  <c r="C88" i="3" s="1"/>
  <c r="C89" i="3" s="1"/>
  <c r="D89" i="3" s="1"/>
  <c r="G47" i="3"/>
  <c r="F47" i="3" s="1"/>
  <c r="E67" i="3" s="1"/>
  <c r="B169" i="3"/>
  <c r="B187" i="3" s="1"/>
  <c r="E205" i="3"/>
  <c r="E193" i="3"/>
  <c r="E133" i="3"/>
  <c r="E178" i="3"/>
  <c r="E160" i="3"/>
  <c r="E220" i="3"/>
  <c r="E184" i="3"/>
  <c r="E211" i="3"/>
  <c r="E166" i="3"/>
  <c r="E148" i="3"/>
  <c r="E199" i="3"/>
  <c r="E232" i="3"/>
  <c r="E229" i="3"/>
  <c r="E202" i="3"/>
  <c r="E223" i="3"/>
  <c r="E169" i="3"/>
  <c r="E214" i="3"/>
  <c r="E187" i="3"/>
  <c r="B148" i="3"/>
  <c r="C148" i="3" s="1"/>
  <c r="C149" i="3" s="1"/>
  <c r="D149" i="3" s="1"/>
  <c r="E226" i="3"/>
  <c r="B133" i="3"/>
  <c r="C133" i="3" s="1"/>
  <c r="C134" i="3" s="1"/>
  <c r="D134" i="3" s="1"/>
  <c r="B106" i="1"/>
  <c r="E172" i="1"/>
  <c r="E106" i="1"/>
  <c r="E154" i="1"/>
  <c r="E197" i="1"/>
  <c r="E191" i="1"/>
  <c r="E194" i="1"/>
  <c r="E151" i="1"/>
  <c r="B88" i="1"/>
  <c r="E88" i="1"/>
  <c r="G51" i="1"/>
  <c r="F51" i="1" s="1"/>
  <c r="E218" i="1" s="1"/>
  <c r="D218" i="1"/>
  <c r="G53" i="1"/>
  <c r="F53" i="1" s="1"/>
  <c r="G54" i="1"/>
  <c r="F54" i="1" s="1"/>
  <c r="B67" i="1"/>
  <c r="E67" i="1"/>
  <c r="E76" i="1" s="1"/>
  <c r="E175" i="1"/>
  <c r="E157" i="1"/>
  <c r="B121" i="1"/>
  <c r="E190" i="1"/>
  <c r="F191" i="1" s="1"/>
  <c r="G191" i="1" s="1"/>
  <c r="E121" i="1"/>
  <c r="E85" i="1"/>
  <c r="E73" i="1"/>
  <c r="B79" i="1"/>
  <c r="E70" i="1"/>
  <c r="E79" i="1"/>
  <c r="E82" i="1"/>
  <c r="B85" i="1"/>
  <c r="B76" i="1"/>
  <c r="B73" i="1"/>
  <c r="G52" i="1"/>
  <c r="F52" i="1" s="1"/>
  <c r="B82" i="5" l="1"/>
  <c r="B70" i="5"/>
  <c r="C67" i="5"/>
  <c r="B79" i="5"/>
  <c r="B76" i="5"/>
  <c r="B85" i="5"/>
  <c r="B73" i="5"/>
  <c r="B139" i="5"/>
  <c r="B160" i="5"/>
  <c r="B136" i="5"/>
  <c r="C133" i="5"/>
  <c r="B130" i="5"/>
  <c r="B127" i="5"/>
  <c r="B124" i="5"/>
  <c r="B175" i="5" s="1"/>
  <c r="B190" i="5" s="1"/>
  <c r="C121" i="5"/>
  <c r="B157" i="5"/>
  <c r="C157" i="5" s="1"/>
  <c r="B214" i="5"/>
  <c r="B202" i="5"/>
  <c r="B223" i="5"/>
  <c r="B187" i="5"/>
  <c r="B232" i="5"/>
  <c r="C169" i="5"/>
  <c r="B229" i="5"/>
  <c r="B94" i="5"/>
  <c r="B151" i="5"/>
  <c r="C151" i="5" s="1"/>
  <c r="C152" i="5" s="1"/>
  <c r="B103" i="5"/>
  <c r="B91" i="5"/>
  <c r="C88" i="5"/>
  <c r="B100" i="5"/>
  <c r="B97" i="5"/>
  <c r="B154" i="5"/>
  <c r="C154" i="5" s="1"/>
  <c r="B118" i="5"/>
  <c r="B115" i="5"/>
  <c r="C106" i="5"/>
  <c r="B172" i="5"/>
  <c r="B112" i="5"/>
  <c r="B109" i="5"/>
  <c r="E103" i="5"/>
  <c r="E91" i="5"/>
  <c r="E100" i="5"/>
  <c r="E97" i="5"/>
  <c r="E94" i="5"/>
  <c r="E139" i="5"/>
  <c r="E136" i="5"/>
  <c r="E127" i="5"/>
  <c r="E124" i="5"/>
  <c r="E130" i="5"/>
  <c r="E115" i="5"/>
  <c r="E112" i="5"/>
  <c r="E109" i="5"/>
  <c r="E118" i="5"/>
  <c r="B163" i="5"/>
  <c r="C142" i="5"/>
  <c r="B145" i="5"/>
  <c r="E79" i="5"/>
  <c r="E76" i="5"/>
  <c r="E85" i="5"/>
  <c r="E73" i="5"/>
  <c r="E82" i="5"/>
  <c r="E70" i="5"/>
  <c r="B166" i="5"/>
  <c r="C148" i="5"/>
  <c r="C149" i="5" s="1"/>
  <c r="B223" i="3"/>
  <c r="E157" i="3"/>
  <c r="E121" i="3"/>
  <c r="E130" i="3" s="1"/>
  <c r="B121" i="3"/>
  <c r="C121" i="3" s="1"/>
  <c r="E190" i="3"/>
  <c r="B67" i="3"/>
  <c r="C67" i="3" s="1"/>
  <c r="C68" i="3" s="1"/>
  <c r="D68" i="3" s="1"/>
  <c r="C169" i="3"/>
  <c r="C187" i="3" s="1"/>
  <c r="C188" i="3" s="1"/>
  <c r="D188" i="3" s="1"/>
  <c r="B229" i="3"/>
  <c r="F58" i="3"/>
  <c r="B232" i="3"/>
  <c r="B202" i="3"/>
  <c r="B214" i="3"/>
  <c r="E88" i="3"/>
  <c r="E103" i="3" s="1"/>
  <c r="E217" i="3"/>
  <c r="E142" i="3"/>
  <c r="E145" i="3" s="1"/>
  <c r="B142" i="3"/>
  <c r="E196" i="3"/>
  <c r="E181" i="3"/>
  <c r="E163" i="3"/>
  <c r="E208" i="3"/>
  <c r="E151" i="3"/>
  <c r="E172" i="3"/>
  <c r="B106" i="3"/>
  <c r="C106" i="3" s="1"/>
  <c r="C107" i="3" s="1"/>
  <c r="D107" i="3" s="1"/>
  <c r="E154" i="3"/>
  <c r="E106" i="3"/>
  <c r="C136" i="3"/>
  <c r="C137" i="3" s="1"/>
  <c r="D137" i="3" s="1"/>
  <c r="C139" i="3"/>
  <c r="C140" i="3" s="1"/>
  <c r="D140" i="3" s="1"/>
  <c r="E76" i="3"/>
  <c r="E85" i="3"/>
  <c r="E73" i="3"/>
  <c r="E82" i="3"/>
  <c r="E70" i="3"/>
  <c r="E79" i="3"/>
  <c r="B139" i="3"/>
  <c r="B160" i="3"/>
  <c r="C160" i="3" s="1"/>
  <c r="B136" i="3"/>
  <c r="B151" i="3"/>
  <c r="C151" i="3" s="1"/>
  <c r="C152" i="3" s="1"/>
  <c r="D152" i="3" s="1"/>
  <c r="B103" i="3"/>
  <c r="B91" i="3"/>
  <c r="B100" i="3"/>
  <c r="B97" i="3"/>
  <c r="B94" i="3"/>
  <c r="E124" i="3"/>
  <c r="E139" i="3"/>
  <c r="E136" i="3"/>
  <c r="B166" i="3"/>
  <c r="C166" i="3" s="1"/>
  <c r="E149" i="3"/>
  <c r="F149" i="3" s="1"/>
  <c r="E199" i="1"/>
  <c r="E184" i="1"/>
  <c r="E220" i="1"/>
  <c r="E148" i="1"/>
  <c r="B148" i="1"/>
  <c r="E166" i="1"/>
  <c r="E211" i="1"/>
  <c r="E226" i="1"/>
  <c r="E223" i="1"/>
  <c r="E169" i="1"/>
  <c r="E214" i="1"/>
  <c r="E187" i="1"/>
  <c r="E232" i="1"/>
  <c r="E229" i="1"/>
  <c r="E202" i="1"/>
  <c r="E146" i="1"/>
  <c r="C121" i="1"/>
  <c r="B157" i="1"/>
  <c r="C157" i="1" s="1"/>
  <c r="B127" i="1"/>
  <c r="B130" i="1"/>
  <c r="B124" i="1"/>
  <c r="B175" i="1" s="1"/>
  <c r="B190" i="1" s="1"/>
  <c r="E160" i="1"/>
  <c r="E193" i="1"/>
  <c r="F194" i="1" s="1"/>
  <c r="G194" i="1" s="1"/>
  <c r="E133" i="1"/>
  <c r="B133" i="1"/>
  <c r="E178" i="1"/>
  <c r="E205" i="1"/>
  <c r="F58" i="1"/>
  <c r="E181" i="1"/>
  <c r="E196" i="1"/>
  <c r="F197" i="1" s="1"/>
  <c r="G197" i="1" s="1"/>
  <c r="E217" i="1"/>
  <c r="F218" i="1" s="1"/>
  <c r="G218" i="1" s="1"/>
  <c r="E142" i="1"/>
  <c r="E145" i="1" s="1"/>
  <c r="E163" i="1"/>
  <c r="B142" i="1"/>
  <c r="E208" i="1"/>
  <c r="E103" i="1"/>
  <c r="E97" i="1"/>
  <c r="E91" i="1"/>
  <c r="E100" i="1"/>
  <c r="E94" i="1"/>
  <c r="E115" i="1"/>
  <c r="E112" i="1"/>
  <c r="E109" i="1"/>
  <c r="E118" i="1"/>
  <c r="E130" i="1"/>
  <c r="E127" i="1"/>
  <c r="E124" i="1"/>
  <c r="C88" i="1"/>
  <c r="B91" i="1"/>
  <c r="B103" i="1"/>
  <c r="B151" i="1"/>
  <c r="C151" i="1" s="1"/>
  <c r="C152" i="1" s="1"/>
  <c r="B94" i="1"/>
  <c r="B100" i="1"/>
  <c r="B97" i="1"/>
  <c r="C67" i="1"/>
  <c r="B82" i="1"/>
  <c r="B70" i="1"/>
  <c r="B112" i="1"/>
  <c r="B109" i="1"/>
  <c r="B115" i="1"/>
  <c r="B118" i="1"/>
  <c r="B172" i="1"/>
  <c r="C106" i="1"/>
  <c r="B154" i="1"/>
  <c r="C154" i="1" s="1"/>
  <c r="C127" i="5" l="1"/>
  <c r="C128" i="5" s="1"/>
  <c r="C130" i="5"/>
  <c r="C131" i="5" s="1"/>
  <c r="C122" i="5"/>
  <c r="C124" i="5"/>
  <c r="C125" i="5" s="1"/>
  <c r="C118" i="5"/>
  <c r="C119" i="5" s="1"/>
  <c r="C115" i="5"/>
  <c r="C116" i="5" s="1"/>
  <c r="C112" i="5"/>
  <c r="C113" i="5" s="1"/>
  <c r="C107" i="5"/>
  <c r="C109" i="5"/>
  <c r="C110" i="5" s="1"/>
  <c r="C89" i="5"/>
  <c r="C103" i="5"/>
  <c r="C104" i="5" s="1"/>
  <c r="C91" i="5"/>
  <c r="C92" i="5" s="1"/>
  <c r="C100" i="5"/>
  <c r="C101" i="5" s="1"/>
  <c r="C97" i="5"/>
  <c r="C98" i="5" s="1"/>
  <c r="C94" i="5"/>
  <c r="C95" i="5" s="1"/>
  <c r="C166" i="5"/>
  <c r="B184" i="5"/>
  <c r="B199" i="5" s="1"/>
  <c r="C163" i="5"/>
  <c r="C164" i="5" s="1"/>
  <c r="B181" i="5"/>
  <c r="B196" i="5" s="1"/>
  <c r="C139" i="5"/>
  <c r="C134" i="5"/>
  <c r="C136" i="5"/>
  <c r="C137" i="5" s="1"/>
  <c r="C79" i="5"/>
  <c r="C80" i="5" s="1"/>
  <c r="C76" i="5"/>
  <c r="C77" i="5" s="1"/>
  <c r="C85" i="5"/>
  <c r="C86" i="5" s="1"/>
  <c r="C73" i="5"/>
  <c r="C74" i="5" s="1"/>
  <c r="C68" i="5"/>
  <c r="C82" i="5"/>
  <c r="C83" i="5" s="1"/>
  <c r="C70" i="5"/>
  <c r="C71" i="5" s="1"/>
  <c r="D149" i="5"/>
  <c r="E149" i="5"/>
  <c r="F149" i="5" s="1"/>
  <c r="G149" i="5" s="1"/>
  <c r="C196" i="5"/>
  <c r="C143" i="5"/>
  <c r="C181" i="5"/>
  <c r="C145" i="5"/>
  <c r="C146" i="5" s="1"/>
  <c r="C172" i="5"/>
  <c r="C173" i="5" s="1"/>
  <c r="C155" i="5"/>
  <c r="E152" i="5"/>
  <c r="F152" i="5" s="1"/>
  <c r="G152" i="5" s="1"/>
  <c r="D152" i="5"/>
  <c r="B178" i="5"/>
  <c r="B193" i="5" s="1"/>
  <c r="B205" i="5" s="1"/>
  <c r="C160" i="5"/>
  <c r="C161" i="5" s="1"/>
  <c r="C187" i="5"/>
  <c r="C170" i="5"/>
  <c r="C175" i="5"/>
  <c r="C158" i="5"/>
  <c r="C124" i="3"/>
  <c r="C125" i="3" s="1"/>
  <c r="D125" i="3" s="1"/>
  <c r="C122" i="3"/>
  <c r="D122" i="3" s="1"/>
  <c r="E127" i="3"/>
  <c r="B157" i="3"/>
  <c r="C157" i="3" s="1"/>
  <c r="C158" i="3" s="1"/>
  <c r="D158" i="3" s="1"/>
  <c r="B130" i="3"/>
  <c r="B124" i="3"/>
  <c r="B175" i="3" s="1"/>
  <c r="B190" i="3" s="1"/>
  <c r="C127" i="3"/>
  <c r="C128" i="3" s="1"/>
  <c r="D128" i="3" s="1"/>
  <c r="C130" i="3"/>
  <c r="C131" i="3" s="1"/>
  <c r="D131" i="3" s="1"/>
  <c r="B127" i="3"/>
  <c r="C170" i="3"/>
  <c r="D170" i="3" s="1"/>
  <c r="B82" i="3"/>
  <c r="B73" i="3"/>
  <c r="B70" i="3"/>
  <c r="B85" i="3"/>
  <c r="B76" i="3"/>
  <c r="B79" i="3"/>
  <c r="E94" i="3"/>
  <c r="E91" i="3"/>
  <c r="E97" i="3"/>
  <c r="E100" i="3"/>
  <c r="B154" i="3"/>
  <c r="C154" i="3" s="1"/>
  <c r="B109" i="3"/>
  <c r="B172" i="3"/>
  <c r="B118" i="3"/>
  <c r="B115" i="3"/>
  <c r="B112" i="3"/>
  <c r="E112" i="3"/>
  <c r="E109" i="3"/>
  <c r="E115" i="3"/>
  <c r="E118" i="3"/>
  <c r="C178" i="3"/>
  <c r="C179" i="3" s="1"/>
  <c r="D179" i="3" s="1"/>
  <c r="C142" i="3"/>
  <c r="C143" i="3" s="1"/>
  <c r="D143" i="3" s="1"/>
  <c r="B145" i="3"/>
  <c r="B163" i="3"/>
  <c r="C184" i="3"/>
  <c r="C167" i="3"/>
  <c r="D167" i="3" s="1"/>
  <c r="C199" i="3"/>
  <c r="C200" i="3" s="1"/>
  <c r="C161" i="3"/>
  <c r="D161" i="3" s="1"/>
  <c r="C202" i="3"/>
  <c r="C203" i="3" s="1"/>
  <c r="C103" i="3"/>
  <c r="C91" i="3"/>
  <c r="C100" i="3"/>
  <c r="C97" i="3"/>
  <c r="C94" i="3"/>
  <c r="E89" i="3"/>
  <c r="F89" i="3" s="1"/>
  <c r="G149" i="3"/>
  <c r="E134" i="3"/>
  <c r="F134" i="3" s="1"/>
  <c r="E137" i="3"/>
  <c r="F137" i="3" s="1"/>
  <c r="B184" i="3"/>
  <c r="B199" i="3" s="1"/>
  <c r="E188" i="3"/>
  <c r="F188" i="3" s="1"/>
  <c r="C79" i="3"/>
  <c r="C76" i="3"/>
  <c r="C85" i="3"/>
  <c r="C73" i="3"/>
  <c r="E68" i="3"/>
  <c r="F68" i="3" s="1"/>
  <c r="C70" i="3"/>
  <c r="C82" i="3"/>
  <c r="B178" i="3"/>
  <c r="B193" i="3" s="1"/>
  <c r="B205" i="3" s="1"/>
  <c r="C148" i="1"/>
  <c r="C149" i="1" s="1"/>
  <c r="B166" i="1"/>
  <c r="B229" i="1"/>
  <c r="B187" i="1"/>
  <c r="B202" i="1"/>
  <c r="C169" i="1"/>
  <c r="B232" i="1"/>
  <c r="B214" i="1"/>
  <c r="B223" i="1"/>
  <c r="E152" i="1"/>
  <c r="F152" i="1" s="1"/>
  <c r="G152" i="1" s="1"/>
  <c r="D152" i="1"/>
  <c r="C142" i="1"/>
  <c r="B145" i="1"/>
  <c r="B163" i="1"/>
  <c r="C158" i="1"/>
  <c r="C175" i="1"/>
  <c r="C176" i="1" s="1"/>
  <c r="B136" i="1"/>
  <c r="C133" i="1"/>
  <c r="B139" i="1"/>
  <c r="B160" i="1"/>
  <c r="C130" i="1"/>
  <c r="C131" i="1" s="1"/>
  <c r="C124" i="1"/>
  <c r="C125" i="1" s="1"/>
  <c r="C127" i="1"/>
  <c r="C128" i="1" s="1"/>
  <c r="C122" i="1"/>
  <c r="C172" i="1"/>
  <c r="C173" i="1" s="1"/>
  <c r="C155" i="1"/>
  <c r="C94" i="1"/>
  <c r="C95" i="1" s="1"/>
  <c r="C91" i="1"/>
  <c r="C92" i="1" s="1"/>
  <c r="C100" i="1"/>
  <c r="C101" i="1" s="1"/>
  <c r="C97" i="1"/>
  <c r="C98" i="1" s="1"/>
  <c r="C89" i="1"/>
  <c r="C103" i="1"/>
  <c r="C104" i="1" s="1"/>
  <c r="E136" i="1"/>
  <c r="E139" i="1"/>
  <c r="C109" i="1"/>
  <c r="C110" i="1" s="1"/>
  <c r="C107" i="1"/>
  <c r="C115" i="1"/>
  <c r="C116" i="1" s="1"/>
  <c r="C112" i="1"/>
  <c r="C113" i="1" s="1"/>
  <c r="C118" i="1"/>
  <c r="C119" i="1" s="1"/>
  <c r="C68" i="1"/>
  <c r="C73" i="1"/>
  <c r="C74" i="1" s="1"/>
  <c r="C76" i="1"/>
  <c r="C77" i="1" s="1"/>
  <c r="C85" i="1"/>
  <c r="C86" i="1" s="1"/>
  <c r="C70" i="1"/>
  <c r="C71" i="1" s="1"/>
  <c r="C82" i="1"/>
  <c r="C83" i="1" s="1"/>
  <c r="C79" i="1"/>
  <c r="C80" i="1" s="1"/>
  <c r="D113" i="5" l="1"/>
  <c r="E113" i="5"/>
  <c r="F113" i="5" s="1"/>
  <c r="G113" i="5" s="1"/>
  <c r="C197" i="5"/>
  <c r="C217" i="5"/>
  <c r="C218" i="5" s="1"/>
  <c r="E77" i="5"/>
  <c r="F77" i="5" s="1"/>
  <c r="G77" i="5" s="1"/>
  <c r="D77" i="5"/>
  <c r="C199" i="5"/>
  <c r="C184" i="5"/>
  <c r="C185" i="5" s="1"/>
  <c r="C167" i="5"/>
  <c r="E107" i="5"/>
  <c r="F107" i="5" s="1"/>
  <c r="G107" i="5" s="1"/>
  <c r="D107" i="5"/>
  <c r="D95" i="5"/>
  <c r="E95" i="5"/>
  <c r="F95" i="5" s="1"/>
  <c r="G95" i="5" s="1"/>
  <c r="E137" i="5"/>
  <c r="F137" i="5" s="1"/>
  <c r="G137" i="5" s="1"/>
  <c r="D137" i="5"/>
  <c r="E71" i="5"/>
  <c r="F71" i="5" s="1"/>
  <c r="G71" i="5" s="1"/>
  <c r="D71" i="5"/>
  <c r="E134" i="5"/>
  <c r="F134" i="5" s="1"/>
  <c r="G134" i="5" s="1"/>
  <c r="D134" i="5"/>
  <c r="D101" i="5"/>
  <c r="E101" i="5"/>
  <c r="F101" i="5" s="1"/>
  <c r="G101" i="5" s="1"/>
  <c r="E119" i="5"/>
  <c r="F119" i="5" s="1"/>
  <c r="G119" i="5" s="1"/>
  <c r="D119" i="5"/>
  <c r="E116" i="5"/>
  <c r="F116" i="5" s="1"/>
  <c r="G116" i="5" s="1"/>
  <c r="D116" i="5"/>
  <c r="E83" i="5"/>
  <c r="F83" i="5" s="1"/>
  <c r="G83" i="5" s="1"/>
  <c r="D83" i="5"/>
  <c r="C178" i="5"/>
  <c r="C140" i="5"/>
  <c r="E92" i="5"/>
  <c r="F92" i="5" s="1"/>
  <c r="G92" i="5" s="1"/>
  <c r="D92" i="5"/>
  <c r="E125" i="5"/>
  <c r="F125" i="5" s="1"/>
  <c r="G125" i="5" s="1"/>
  <c r="D125" i="5"/>
  <c r="E155" i="5"/>
  <c r="F155" i="5" s="1"/>
  <c r="G155" i="5" s="1"/>
  <c r="D155" i="5"/>
  <c r="C190" i="5"/>
  <c r="C191" i="5" s="1"/>
  <c r="C176" i="5"/>
  <c r="E170" i="5"/>
  <c r="F170" i="5" s="1"/>
  <c r="G170" i="5" s="1"/>
  <c r="D170" i="5"/>
  <c r="E146" i="5"/>
  <c r="F146" i="5" s="1"/>
  <c r="G146" i="5" s="1"/>
  <c r="D146" i="5"/>
  <c r="E68" i="5"/>
  <c r="F68" i="5" s="1"/>
  <c r="G68" i="5" s="1"/>
  <c r="D68" i="5"/>
  <c r="B208" i="5"/>
  <c r="B217" i="5"/>
  <c r="E104" i="5"/>
  <c r="F104" i="5" s="1"/>
  <c r="G104" i="5" s="1"/>
  <c r="D104" i="5"/>
  <c r="E122" i="5"/>
  <c r="F122" i="5" s="1"/>
  <c r="G122" i="5" s="1"/>
  <c r="D122" i="5"/>
  <c r="E158" i="5"/>
  <c r="F158" i="5" s="1"/>
  <c r="G158" i="5" s="1"/>
  <c r="D158" i="5"/>
  <c r="E74" i="5"/>
  <c r="F74" i="5" s="1"/>
  <c r="G74" i="5" s="1"/>
  <c r="D74" i="5"/>
  <c r="E164" i="5"/>
  <c r="F164" i="5" s="1"/>
  <c r="G164" i="5" s="1"/>
  <c r="D164" i="5"/>
  <c r="E89" i="5"/>
  <c r="F89" i="5" s="1"/>
  <c r="G89" i="5" s="1"/>
  <c r="D89" i="5"/>
  <c r="E131" i="5"/>
  <c r="F131" i="5" s="1"/>
  <c r="G131" i="5" s="1"/>
  <c r="D131" i="5"/>
  <c r="E80" i="5"/>
  <c r="F80" i="5" s="1"/>
  <c r="G80" i="5" s="1"/>
  <c r="D80" i="5"/>
  <c r="E98" i="5"/>
  <c r="F98" i="5" s="1"/>
  <c r="G98" i="5" s="1"/>
  <c r="D98" i="5"/>
  <c r="D173" i="5"/>
  <c r="E173" i="5"/>
  <c r="F173" i="5" s="1"/>
  <c r="G173" i="5" s="1"/>
  <c r="C188" i="5"/>
  <c r="C202" i="5"/>
  <c r="C182" i="5"/>
  <c r="C208" i="5"/>
  <c r="C209" i="5" s="1"/>
  <c r="D161" i="5"/>
  <c r="E161" i="5"/>
  <c r="F161" i="5" s="1"/>
  <c r="G161" i="5" s="1"/>
  <c r="E143" i="5"/>
  <c r="F143" i="5" s="1"/>
  <c r="G143" i="5" s="1"/>
  <c r="D143" i="5"/>
  <c r="E86" i="5"/>
  <c r="F86" i="5" s="1"/>
  <c r="G86" i="5" s="1"/>
  <c r="D86" i="5"/>
  <c r="B211" i="5"/>
  <c r="B220" i="5"/>
  <c r="B226" i="5" s="1"/>
  <c r="E110" i="5"/>
  <c r="F110" i="5" s="1"/>
  <c r="G110" i="5" s="1"/>
  <c r="D110" i="5"/>
  <c r="E128" i="5"/>
  <c r="F128" i="5" s="1"/>
  <c r="G128" i="5" s="1"/>
  <c r="D128" i="5"/>
  <c r="E122" i="3"/>
  <c r="F122" i="3" s="1"/>
  <c r="G122" i="3" s="1"/>
  <c r="C104" i="3"/>
  <c r="D104" i="3" s="1"/>
  <c r="C83" i="3"/>
  <c r="D83" i="3" s="1"/>
  <c r="E131" i="3"/>
  <c r="F131" i="3" s="1"/>
  <c r="G131" i="3" s="1"/>
  <c r="C86" i="3"/>
  <c r="D86" i="3" s="1"/>
  <c r="C101" i="3"/>
  <c r="D101" i="3" s="1"/>
  <c r="E128" i="3"/>
  <c r="F128" i="3" s="1"/>
  <c r="G128" i="3" s="1"/>
  <c r="E125" i="3"/>
  <c r="F125" i="3" s="1"/>
  <c r="G125" i="3" s="1"/>
  <c r="C80" i="3"/>
  <c r="D80" i="3" s="1"/>
  <c r="C77" i="3"/>
  <c r="D77" i="3" s="1"/>
  <c r="C98" i="3"/>
  <c r="D98" i="3" s="1"/>
  <c r="C95" i="3"/>
  <c r="D95" i="3" s="1"/>
  <c r="C175" i="3"/>
  <c r="C176" i="3" s="1"/>
  <c r="D176" i="3" s="1"/>
  <c r="C74" i="3"/>
  <c r="D74" i="3" s="1"/>
  <c r="C92" i="3"/>
  <c r="D92" i="3" s="1"/>
  <c r="E170" i="3"/>
  <c r="F170" i="3" s="1"/>
  <c r="G170" i="3" s="1"/>
  <c r="C71" i="3"/>
  <c r="D71" i="3" s="1"/>
  <c r="C193" i="3"/>
  <c r="C194" i="3" s="1"/>
  <c r="D194" i="3" s="1"/>
  <c r="C181" i="3"/>
  <c r="C196" i="3"/>
  <c r="C145" i="3"/>
  <c r="C146" i="3" s="1"/>
  <c r="D146" i="3" s="1"/>
  <c r="C155" i="3"/>
  <c r="D155" i="3" s="1"/>
  <c r="C172" i="3"/>
  <c r="C173" i="3" s="1"/>
  <c r="D173" i="3" s="1"/>
  <c r="C205" i="3"/>
  <c r="C206" i="3" s="1"/>
  <c r="D206" i="3" s="1"/>
  <c r="C185" i="3"/>
  <c r="D185" i="3" s="1"/>
  <c r="C112" i="3"/>
  <c r="C113" i="3" s="1"/>
  <c r="D113" i="3" s="1"/>
  <c r="C118" i="3"/>
  <c r="C119" i="3" s="1"/>
  <c r="D119" i="3" s="1"/>
  <c r="C115" i="3"/>
  <c r="C116" i="3" s="1"/>
  <c r="D116" i="3" s="1"/>
  <c r="C109" i="3"/>
  <c r="C110" i="3" s="1"/>
  <c r="D110" i="3" s="1"/>
  <c r="C163" i="3"/>
  <c r="B181" i="3"/>
  <c r="B196" i="3" s="1"/>
  <c r="E161" i="3"/>
  <c r="F161" i="3" s="1"/>
  <c r="G161" i="3" s="1"/>
  <c r="E158" i="3"/>
  <c r="F158" i="3" s="1"/>
  <c r="G158" i="3" s="1"/>
  <c r="C211" i="3"/>
  <c r="C212" i="3" s="1"/>
  <c r="C214" i="3"/>
  <c r="C215" i="3" s="1"/>
  <c r="E152" i="3"/>
  <c r="G137" i="3"/>
  <c r="E140" i="3"/>
  <c r="F140" i="3" s="1"/>
  <c r="G188" i="3"/>
  <c r="G134" i="3"/>
  <c r="G68" i="3"/>
  <c r="B211" i="3"/>
  <c r="B220" i="3"/>
  <c r="B226" i="3" s="1"/>
  <c r="G89" i="3"/>
  <c r="E167" i="3"/>
  <c r="F167" i="3" s="1"/>
  <c r="B181" i="1"/>
  <c r="B196" i="1" s="1"/>
  <c r="C163" i="1"/>
  <c r="C164" i="1" s="1"/>
  <c r="E107" i="1"/>
  <c r="F107" i="1" s="1"/>
  <c r="G107" i="1" s="1"/>
  <c r="D107" i="1"/>
  <c r="E86" i="1"/>
  <c r="F86" i="1" s="1"/>
  <c r="G86" i="1" s="1"/>
  <c r="D86" i="1"/>
  <c r="E110" i="1"/>
  <c r="F110" i="1" s="1"/>
  <c r="G110" i="1" s="1"/>
  <c r="D110" i="1"/>
  <c r="E92" i="1"/>
  <c r="F92" i="1" s="1"/>
  <c r="G92" i="1" s="1"/>
  <c r="D92" i="1"/>
  <c r="C160" i="1"/>
  <c r="C161" i="1" s="1"/>
  <c r="B178" i="1"/>
  <c r="B193" i="1" s="1"/>
  <c r="B205" i="1" s="1"/>
  <c r="C181" i="1"/>
  <c r="C145" i="1"/>
  <c r="C143" i="1"/>
  <c r="E98" i="1"/>
  <c r="D98" i="1"/>
  <c r="E101" i="1"/>
  <c r="F101" i="1" s="1"/>
  <c r="G101" i="1" s="1"/>
  <c r="D101" i="1"/>
  <c r="E77" i="1"/>
  <c r="F77" i="1" s="1"/>
  <c r="G77" i="1" s="1"/>
  <c r="D77" i="1"/>
  <c r="E95" i="1"/>
  <c r="F95" i="1" s="1"/>
  <c r="G95" i="1" s="1"/>
  <c r="D95" i="1"/>
  <c r="E71" i="1"/>
  <c r="F71" i="1" s="1"/>
  <c r="G71" i="1" s="1"/>
  <c r="D71" i="1"/>
  <c r="E74" i="1"/>
  <c r="F74" i="1" s="1"/>
  <c r="G74" i="1" s="1"/>
  <c r="D74" i="1"/>
  <c r="E155" i="1"/>
  <c r="F155" i="1" s="1"/>
  <c r="G155" i="1" s="1"/>
  <c r="D155" i="1"/>
  <c r="C139" i="1"/>
  <c r="C134" i="1"/>
  <c r="C136" i="1"/>
  <c r="C137" i="1" s="1"/>
  <c r="E83" i="1"/>
  <c r="F83" i="1" s="1"/>
  <c r="G83" i="1" s="1"/>
  <c r="D83" i="1"/>
  <c r="E68" i="1"/>
  <c r="F68" i="1" s="1"/>
  <c r="G68" i="1" s="1"/>
  <c r="D68" i="1"/>
  <c r="E173" i="1"/>
  <c r="F173" i="1" s="1"/>
  <c r="G173" i="1" s="1"/>
  <c r="D173" i="1"/>
  <c r="B184" i="1"/>
  <c r="B199" i="1" s="1"/>
  <c r="C166" i="1"/>
  <c r="E125" i="1"/>
  <c r="D125" i="1"/>
  <c r="C170" i="1"/>
  <c r="C187" i="1"/>
  <c r="E119" i="1"/>
  <c r="F119" i="1" s="1"/>
  <c r="G119" i="1" s="1"/>
  <c r="D119" i="1"/>
  <c r="E104" i="1"/>
  <c r="F104" i="1" s="1"/>
  <c r="G104" i="1" s="1"/>
  <c r="D104" i="1"/>
  <c r="E122" i="1"/>
  <c r="F122" i="1" s="1"/>
  <c r="G122" i="1" s="1"/>
  <c r="D122" i="1"/>
  <c r="E176" i="1"/>
  <c r="F176" i="1" s="1"/>
  <c r="G176" i="1" s="1"/>
  <c r="D176" i="1"/>
  <c r="E149" i="1"/>
  <c r="D149" i="1"/>
  <c r="E116" i="1"/>
  <c r="F116" i="1" s="1"/>
  <c r="G116" i="1" s="1"/>
  <c r="D116" i="1"/>
  <c r="E131" i="1"/>
  <c r="D131" i="1"/>
  <c r="E80" i="1"/>
  <c r="F80" i="1" s="1"/>
  <c r="G80" i="1" s="1"/>
  <c r="D80" i="1"/>
  <c r="E113" i="1"/>
  <c r="D113" i="1"/>
  <c r="E89" i="1"/>
  <c r="F89" i="1" s="1"/>
  <c r="G89" i="1" s="1"/>
  <c r="D89" i="1"/>
  <c r="E128" i="1"/>
  <c r="D128" i="1"/>
  <c r="E158" i="1"/>
  <c r="F158" i="1" s="1"/>
  <c r="G158" i="1" s="1"/>
  <c r="D158" i="1"/>
  <c r="F131" i="1"/>
  <c r="G131" i="1" s="1"/>
  <c r="F128" i="1"/>
  <c r="G128" i="1" s="1"/>
  <c r="F98" i="1"/>
  <c r="G98" i="1" s="1"/>
  <c r="D209" i="5" l="1"/>
  <c r="E209" i="5"/>
  <c r="F209" i="5" s="1"/>
  <c r="G209" i="5" s="1"/>
  <c r="E176" i="5"/>
  <c r="F176" i="5" s="1"/>
  <c r="G176" i="5" s="1"/>
  <c r="D176" i="5"/>
  <c r="E140" i="5"/>
  <c r="F140" i="5" s="1"/>
  <c r="G140" i="5" s="1"/>
  <c r="D140" i="5"/>
  <c r="C211" i="5"/>
  <c r="C200" i="5"/>
  <c r="E182" i="5"/>
  <c r="F182" i="5" s="1"/>
  <c r="G182" i="5" s="1"/>
  <c r="D182" i="5"/>
  <c r="E191" i="5"/>
  <c r="F191" i="5" s="1"/>
  <c r="G191" i="5" s="1"/>
  <c r="D191" i="5"/>
  <c r="C179" i="5"/>
  <c r="C205" i="5"/>
  <c r="C206" i="5" s="1"/>
  <c r="C193" i="5"/>
  <c r="C194" i="5" s="1"/>
  <c r="E218" i="5"/>
  <c r="F218" i="5" s="1"/>
  <c r="G218" i="5" s="1"/>
  <c r="D218" i="5"/>
  <c r="C214" i="5"/>
  <c r="C203" i="5"/>
  <c r="D197" i="5"/>
  <c r="E197" i="5"/>
  <c r="F197" i="5" s="1"/>
  <c r="G197" i="5" s="1"/>
  <c r="E188" i="5"/>
  <c r="F188" i="5" s="1"/>
  <c r="G188" i="5" s="1"/>
  <c r="D188" i="5"/>
  <c r="D185" i="5"/>
  <c r="E185" i="5"/>
  <c r="F185" i="5" s="1"/>
  <c r="G185" i="5" s="1"/>
  <c r="E167" i="5"/>
  <c r="F167" i="5" s="1"/>
  <c r="G167" i="5" s="1"/>
  <c r="D167" i="5"/>
  <c r="E101" i="3"/>
  <c r="F101" i="3" s="1"/>
  <c r="G101" i="3" s="1"/>
  <c r="E86" i="3"/>
  <c r="F86" i="3" s="1"/>
  <c r="G86" i="3" s="1"/>
  <c r="E83" i="3"/>
  <c r="F83" i="3" s="1"/>
  <c r="G83" i="3" s="1"/>
  <c r="E104" i="3"/>
  <c r="F104" i="3" s="1"/>
  <c r="G104" i="3" s="1"/>
  <c r="E176" i="3"/>
  <c r="F176" i="3" s="1"/>
  <c r="G176" i="3" s="1"/>
  <c r="E95" i="3"/>
  <c r="F95" i="3" s="1"/>
  <c r="G95" i="3" s="1"/>
  <c r="E98" i="3"/>
  <c r="F98" i="3" s="1"/>
  <c r="G98" i="3" s="1"/>
  <c r="E77" i="3"/>
  <c r="F77" i="3" s="1"/>
  <c r="G77" i="3" s="1"/>
  <c r="E80" i="3"/>
  <c r="F80" i="3" s="1"/>
  <c r="G80" i="3" s="1"/>
  <c r="C190" i="3"/>
  <c r="C191" i="3" s="1"/>
  <c r="D191" i="3" s="1"/>
  <c r="E74" i="3"/>
  <c r="F74" i="3" s="1"/>
  <c r="G74" i="3" s="1"/>
  <c r="E92" i="3"/>
  <c r="F92" i="3" s="1"/>
  <c r="G92" i="3" s="1"/>
  <c r="E71" i="3"/>
  <c r="F71" i="3" s="1"/>
  <c r="G71" i="3" s="1"/>
  <c r="E185" i="3"/>
  <c r="F185" i="3" s="1"/>
  <c r="G185" i="3" s="1"/>
  <c r="E173" i="3"/>
  <c r="F173" i="3" s="1"/>
  <c r="G173" i="3" s="1"/>
  <c r="D215" i="3"/>
  <c r="D212" i="3"/>
  <c r="E107" i="3"/>
  <c r="F107" i="3" s="1"/>
  <c r="G107" i="3" s="1"/>
  <c r="E155" i="3"/>
  <c r="F155" i="3" s="1"/>
  <c r="G155" i="3" s="1"/>
  <c r="E116" i="3"/>
  <c r="F116" i="3" s="1"/>
  <c r="G116" i="3" s="1"/>
  <c r="E146" i="3"/>
  <c r="F146" i="3" s="1"/>
  <c r="G146" i="3" s="1"/>
  <c r="E119" i="3"/>
  <c r="F119" i="3" s="1"/>
  <c r="G119" i="3" s="1"/>
  <c r="B208" i="3"/>
  <c r="B217" i="3"/>
  <c r="C182" i="3"/>
  <c r="D182" i="3" s="1"/>
  <c r="C208" i="3"/>
  <c r="C209" i="3" s="1"/>
  <c r="D209" i="3" s="1"/>
  <c r="C197" i="3"/>
  <c r="D197" i="3" s="1"/>
  <c r="C217" i="3"/>
  <c r="C218" i="3" s="1"/>
  <c r="D218" i="3" s="1"/>
  <c r="E113" i="3"/>
  <c r="F113" i="3" s="1"/>
  <c r="G113" i="3" s="1"/>
  <c r="C164" i="3"/>
  <c r="D164" i="3" s="1"/>
  <c r="E194" i="3"/>
  <c r="F194" i="3" s="1"/>
  <c r="G194" i="3" s="1"/>
  <c r="E110" i="3"/>
  <c r="F110" i="3" s="1"/>
  <c r="G110" i="3" s="1"/>
  <c r="E143" i="3"/>
  <c r="F143" i="3" s="1"/>
  <c r="G143" i="3" s="1"/>
  <c r="C232" i="3"/>
  <c r="C229" i="3"/>
  <c r="C230" i="3" s="1"/>
  <c r="D230" i="3" s="1"/>
  <c r="C223" i="3"/>
  <c r="C224" i="3" s="1"/>
  <c r="D224" i="3" s="1"/>
  <c r="C226" i="3"/>
  <c r="C220" i="3"/>
  <c r="C221" i="3" s="1"/>
  <c r="D221" i="3" s="1"/>
  <c r="F152" i="3"/>
  <c r="G152" i="3" s="1"/>
  <c r="E179" i="3"/>
  <c r="F179" i="3" s="1"/>
  <c r="E206" i="3"/>
  <c r="F206" i="3" s="1"/>
  <c r="G140" i="3"/>
  <c r="G167" i="3"/>
  <c r="E143" i="1"/>
  <c r="D143" i="1"/>
  <c r="C167" i="1"/>
  <c r="C199" i="1"/>
  <c r="C184" i="1"/>
  <c r="C185" i="1" s="1"/>
  <c r="E137" i="1"/>
  <c r="F137" i="1" s="1"/>
  <c r="G137" i="1" s="1"/>
  <c r="D137" i="1"/>
  <c r="C178" i="1"/>
  <c r="C140" i="1"/>
  <c r="C208" i="1"/>
  <c r="C209" i="1" s="1"/>
  <c r="C182" i="1"/>
  <c r="C188" i="1"/>
  <c r="C202" i="1"/>
  <c r="B220" i="1"/>
  <c r="B226" i="1" s="1"/>
  <c r="B211" i="1"/>
  <c r="E170" i="1"/>
  <c r="F170" i="1" s="1"/>
  <c r="G170" i="1" s="1"/>
  <c r="D170" i="1"/>
  <c r="D161" i="1"/>
  <c r="E161" i="1"/>
  <c r="F161" i="1" s="1"/>
  <c r="G161" i="1" s="1"/>
  <c r="E164" i="1"/>
  <c r="F164" i="1" s="1"/>
  <c r="G164" i="1" s="1"/>
  <c r="D164" i="1"/>
  <c r="E134" i="1"/>
  <c r="F134" i="1" s="1"/>
  <c r="G134" i="1" s="1"/>
  <c r="D134" i="1"/>
  <c r="B217" i="1"/>
  <c r="B208" i="1"/>
  <c r="F149" i="1"/>
  <c r="G149" i="1" s="1"/>
  <c r="F146" i="1"/>
  <c r="G146" i="1" s="1"/>
  <c r="F125" i="1"/>
  <c r="G125" i="1" s="1"/>
  <c r="F113" i="1"/>
  <c r="G113" i="1" s="1"/>
  <c r="F143" i="1"/>
  <c r="E206" i="5" l="1"/>
  <c r="F206" i="5" s="1"/>
  <c r="G206" i="5" s="1"/>
  <c r="D206" i="5"/>
  <c r="C220" i="5"/>
  <c r="C221" i="5" s="1"/>
  <c r="C226" i="5"/>
  <c r="C227" i="5" s="1"/>
  <c r="C212" i="5"/>
  <c r="E200" i="5"/>
  <c r="F200" i="5" s="1"/>
  <c r="G200" i="5" s="1"/>
  <c r="D200" i="5"/>
  <c r="C223" i="5"/>
  <c r="C224" i="5" s="1"/>
  <c r="C232" i="5"/>
  <c r="C233" i="5" s="1"/>
  <c r="C215" i="5"/>
  <c r="C229" i="5"/>
  <c r="C230" i="5" s="1"/>
  <c r="E194" i="5"/>
  <c r="F194" i="5" s="1"/>
  <c r="G194" i="5" s="1"/>
  <c r="D194" i="5"/>
  <c r="E179" i="5"/>
  <c r="F179" i="5" s="1"/>
  <c r="G179" i="5" s="1"/>
  <c r="D179" i="5"/>
  <c r="E203" i="5"/>
  <c r="F203" i="5" s="1"/>
  <c r="G203" i="5" s="1"/>
  <c r="D203" i="5"/>
  <c r="C233" i="3"/>
  <c r="D233" i="3" s="1"/>
  <c r="E191" i="3"/>
  <c r="F191" i="3" s="1"/>
  <c r="G191" i="3" s="1"/>
  <c r="E215" i="3"/>
  <c r="F215" i="3" s="1"/>
  <c r="G215" i="3" s="1"/>
  <c r="C227" i="3"/>
  <c r="D227" i="3" s="1"/>
  <c r="E182" i="3"/>
  <c r="F182" i="3" s="1"/>
  <c r="G182" i="3" s="1"/>
  <c r="D200" i="3"/>
  <c r="D203" i="3"/>
  <c r="E197" i="3"/>
  <c r="F197" i="3" s="1"/>
  <c r="G197" i="3" s="1"/>
  <c r="E164" i="3"/>
  <c r="F164" i="3" s="1"/>
  <c r="G164" i="3" s="1"/>
  <c r="G179" i="3"/>
  <c r="G206" i="3"/>
  <c r="E212" i="3"/>
  <c r="F212" i="3" s="1"/>
  <c r="C200" i="1"/>
  <c r="C211" i="1"/>
  <c r="E167" i="1"/>
  <c r="F167" i="1" s="1"/>
  <c r="G167" i="1" s="1"/>
  <c r="D167" i="1"/>
  <c r="C214" i="1"/>
  <c r="C203" i="1"/>
  <c r="E182" i="1"/>
  <c r="F182" i="1" s="1"/>
  <c r="G182" i="1" s="1"/>
  <c r="D182" i="1"/>
  <c r="E209" i="1"/>
  <c r="F209" i="1" s="1"/>
  <c r="G209" i="1" s="1"/>
  <c r="D209" i="1"/>
  <c r="D185" i="1"/>
  <c r="E185" i="1"/>
  <c r="F185" i="1" s="1"/>
  <c r="G185" i="1" s="1"/>
  <c r="E188" i="1"/>
  <c r="F188" i="1" s="1"/>
  <c r="G188" i="1" s="1"/>
  <c r="D188" i="1"/>
  <c r="E140" i="1"/>
  <c r="F140" i="1" s="1"/>
  <c r="G140" i="1" s="1"/>
  <c r="D140" i="1"/>
  <c r="C205" i="1"/>
  <c r="C206" i="1" s="1"/>
  <c r="C179" i="1"/>
  <c r="G143" i="1"/>
  <c r="E227" i="5" l="1"/>
  <c r="F227" i="5" s="1"/>
  <c r="G227" i="5" s="1"/>
  <c r="D227" i="5"/>
  <c r="D221" i="5"/>
  <c r="E221" i="5"/>
  <c r="F221" i="5" s="1"/>
  <c r="G221" i="5" s="1"/>
  <c r="D230" i="5"/>
  <c r="E230" i="5"/>
  <c r="F230" i="5" s="1"/>
  <c r="G230" i="5" s="1"/>
  <c r="D233" i="5"/>
  <c r="E233" i="5"/>
  <c r="F233" i="5" s="1"/>
  <c r="G233" i="5" s="1"/>
  <c r="E212" i="5"/>
  <c r="F212" i="5" s="1"/>
  <c r="G212" i="5" s="1"/>
  <c r="G239" i="5" s="1"/>
  <c r="D212" i="5"/>
  <c r="D238" i="5" s="1"/>
  <c r="D237" i="5" s="1"/>
  <c r="E215" i="5"/>
  <c r="F215" i="5" s="1"/>
  <c r="G215" i="5" s="1"/>
  <c r="D215" i="5"/>
  <c r="E224" i="5"/>
  <c r="F224" i="5" s="1"/>
  <c r="G224" i="5" s="1"/>
  <c r="G237" i="5" s="1"/>
  <c r="F237" i="5" s="1"/>
  <c r="D224" i="5"/>
  <c r="D238" i="3"/>
  <c r="D237" i="3" s="1"/>
  <c r="E227" i="3"/>
  <c r="F227" i="3" s="1"/>
  <c r="G227" i="3" s="1"/>
  <c r="E218" i="3"/>
  <c r="F218" i="3" s="1"/>
  <c r="G218" i="3" s="1"/>
  <c r="E203" i="3"/>
  <c r="F203" i="3" s="1"/>
  <c r="G203" i="3" s="1"/>
  <c r="E209" i="3"/>
  <c r="F209" i="3" s="1"/>
  <c r="G209" i="3" s="1"/>
  <c r="E200" i="3"/>
  <c r="F200" i="3" s="1"/>
  <c r="G200" i="3" s="1"/>
  <c r="E233" i="3"/>
  <c r="F233" i="3" s="1"/>
  <c r="G233" i="3" s="1"/>
  <c r="E230" i="3"/>
  <c r="F230" i="3" s="1"/>
  <c r="G230" i="3" s="1"/>
  <c r="G212" i="3"/>
  <c r="E179" i="1"/>
  <c r="F179" i="1" s="1"/>
  <c r="G179" i="1" s="1"/>
  <c r="D179" i="1"/>
  <c r="C220" i="1"/>
  <c r="C221" i="1" s="1"/>
  <c r="C212" i="1"/>
  <c r="C226" i="1"/>
  <c r="C227" i="1" s="1"/>
  <c r="E203" i="1"/>
  <c r="F203" i="1" s="1"/>
  <c r="G203" i="1" s="1"/>
  <c r="D203" i="1"/>
  <c r="C229" i="1"/>
  <c r="C230" i="1" s="1"/>
  <c r="C215" i="1"/>
  <c r="C232" i="1"/>
  <c r="C233" i="1" s="1"/>
  <c r="C223" i="1"/>
  <c r="C224" i="1" s="1"/>
  <c r="E206" i="1"/>
  <c r="F206" i="1" s="1"/>
  <c r="G206" i="1" s="1"/>
  <c r="D206" i="1"/>
  <c r="D200" i="1"/>
  <c r="E200" i="1"/>
  <c r="F200" i="1" s="1"/>
  <c r="G200" i="1" s="1"/>
  <c r="G241" i="5" l="1"/>
  <c r="F239" i="5"/>
  <c r="F241" i="5" s="1"/>
  <c r="E221" i="3"/>
  <c r="F221" i="3" s="1"/>
  <c r="G221" i="3" s="1"/>
  <c r="E224" i="3"/>
  <c r="F224" i="3" s="1"/>
  <c r="G224" i="3" s="1"/>
  <c r="E230" i="1"/>
  <c r="F230" i="1" s="1"/>
  <c r="G230" i="1" s="1"/>
  <c r="D230" i="1"/>
  <c r="D212" i="1"/>
  <c r="E212" i="1"/>
  <c r="F212" i="1" s="1"/>
  <c r="G212" i="1" s="1"/>
  <c r="D221" i="1"/>
  <c r="E221" i="1"/>
  <c r="F221" i="1" s="1"/>
  <c r="G221" i="1" s="1"/>
  <c r="D227" i="1"/>
  <c r="E227" i="1"/>
  <c r="F227" i="1" s="1"/>
  <c r="G227" i="1" s="1"/>
  <c r="E224" i="1"/>
  <c r="F224" i="1" s="1"/>
  <c r="G224" i="1" s="1"/>
  <c r="D224" i="1"/>
  <c r="D233" i="1"/>
  <c r="E233" i="1"/>
  <c r="F233" i="1" s="1"/>
  <c r="G233" i="1" s="1"/>
  <c r="D215" i="1"/>
  <c r="E215" i="1"/>
  <c r="F215" i="1" s="1"/>
  <c r="G215" i="1" s="1"/>
  <c r="G237" i="1" s="1"/>
  <c r="G243" i="5" l="1"/>
  <c r="E12" i="5" s="1"/>
  <c r="G239" i="3"/>
  <c r="F239" i="3" s="1"/>
  <c r="G237" i="3"/>
  <c r="F237" i="3" s="1"/>
  <c r="G239" i="1"/>
  <c r="F239" i="1" s="1"/>
  <c r="F237" i="1"/>
  <c r="D237" i="1"/>
  <c r="G241" i="3" l="1"/>
  <c r="F241" i="3"/>
  <c r="F241" i="1"/>
  <c r="G241" i="1"/>
  <c r="G243" i="1" s="1"/>
  <c r="E15" i="1" s="1"/>
</calcChain>
</file>

<file path=xl/sharedStrings.xml><?xml version="1.0" encoding="utf-8"?>
<sst xmlns="http://schemas.openxmlformats.org/spreadsheetml/2006/main" count="241" uniqueCount="85">
  <si>
    <t>OPTIMIERUNGSKONTROLLE ZU P11, VARIANTE 1</t>
  </si>
  <si>
    <t>Objektbezeichnung</t>
  </si>
  <si>
    <t>Belastungsleitwert</t>
  </si>
  <si>
    <t>xxxx</t>
  </si>
  <si>
    <t>Planungshorizont Jahre</t>
  </si>
  <si>
    <t>Nutzenabschlag (sz) %</t>
  </si>
  <si>
    <t>Einzuhaltender mittlerer Wert U'soll W/(m2*K)</t>
  </si>
  <si>
    <t>Wertigkeitszuwachs (w) %</t>
  </si>
  <si>
    <t>UBP</t>
  </si>
  <si>
    <t>Bezeichnung</t>
  </si>
  <si>
    <t>Fläche A (m2)</t>
  </si>
  <si>
    <t>U0 (W/(m2*K))</t>
  </si>
  <si>
    <t>Umax. (W/(m2*K))</t>
  </si>
  <si>
    <t>T.- Gradient b</t>
  </si>
  <si>
    <t>FORMULAR 1</t>
  </si>
  <si>
    <t>FORMULAR 2</t>
  </si>
  <si>
    <t>FORMULAR 3</t>
  </si>
  <si>
    <t>Dämmstoff</t>
  </si>
  <si>
    <t>Rrohdichte kg/m3</t>
  </si>
  <si>
    <t>Belast.- Leitwert kg/m3</t>
  </si>
  <si>
    <t>Lambdawert W/(m*K)</t>
  </si>
  <si>
    <t>ERGEBNISSE</t>
  </si>
  <si>
    <t>Uresult W/(m2*K)</t>
  </si>
  <si>
    <t>Uresult*A*b Wh</t>
  </si>
  <si>
    <t>spez. Leitwertbelastung /36</t>
  </si>
  <si>
    <t>dopt. mm</t>
  </si>
  <si>
    <t>ÜBERTRAG DER DATEN AUS DER OPTIMIERUNGSBERECHNUNG P11, VARIANTE 1</t>
  </si>
  <si>
    <r>
      <t xml:space="preserve">U'result. W/(m2*K) </t>
    </r>
    <r>
      <rPr>
        <b/>
        <sz val="11"/>
        <color theme="1"/>
        <rFont val="Calibri"/>
        <family val="2"/>
      </rPr>
      <t>≡ Vorgabe</t>
    </r>
  </si>
  <si>
    <t>Bauteil Nr.</t>
  </si>
  <si>
    <t>Summe Uresult*A*b Wh</t>
  </si>
  <si>
    <t>Festlegung Reduktionsfaktor K</t>
  </si>
  <si>
    <t>Falls Kontrolle für OEKOPRIORITY® " freie Bemessung": angepasste Heizgradtag - Zahl</t>
  </si>
  <si>
    <t>bla bla</t>
  </si>
  <si>
    <t xml:space="preserve">BEFUND </t>
  </si>
  <si>
    <t>res</t>
  </si>
  <si>
    <t>Aussenwände</t>
  </si>
  <si>
    <t>Steildach</t>
  </si>
  <si>
    <t>Glaswolle</t>
  </si>
  <si>
    <t>spez. LWB hochgerechnet</t>
  </si>
  <si>
    <t>Hilfswert Hochrechnung</t>
  </si>
  <si>
    <t>sz*</t>
  </si>
  <si>
    <t>w*</t>
  </si>
  <si>
    <t>Gebrauchsdauer m</t>
  </si>
  <si>
    <t>Entsorgung f</t>
  </si>
  <si>
    <t>Term 1</t>
  </si>
  <si>
    <t>Term 2</t>
  </si>
  <si>
    <t xml:space="preserve">Term 3 </t>
  </si>
  <si>
    <t>Term 4</t>
  </si>
  <si>
    <t>1 = A</t>
  </si>
  <si>
    <t>2 = B</t>
  </si>
  <si>
    <t>Differenz (Mehrbelastung)</t>
  </si>
  <si>
    <t>Flachdach</t>
  </si>
  <si>
    <t>Wände g. Erdreich</t>
  </si>
  <si>
    <t>Wände g. Keller</t>
  </si>
  <si>
    <t>Decke g. Keller</t>
  </si>
  <si>
    <t>Boden g. Erde o. BH</t>
  </si>
  <si>
    <t>Boden g. Erde m. BH</t>
  </si>
  <si>
    <t>FOAMGLAS</t>
  </si>
  <si>
    <t>XPS</t>
  </si>
  <si>
    <t>EPS</t>
  </si>
  <si>
    <r>
      <t xml:space="preserve">erf. höhere Dämmstärke (B) </t>
    </r>
    <r>
      <rPr>
        <b/>
        <sz val="11"/>
        <color theme="1"/>
        <rFont val="Calibri"/>
        <family val="2"/>
      </rPr>
      <t>→</t>
    </r>
  </si>
  <si>
    <t xml:space="preserve">spez. Diff. Leitwert - Belastung </t>
  </si>
  <si>
    <r>
      <t xml:space="preserve">Reduz. Leitwertbelastung (A) </t>
    </r>
    <r>
      <rPr>
        <b/>
        <sz val="11"/>
        <color theme="1"/>
        <rFont val="Calibri"/>
        <family val="2"/>
      </rPr>
      <t>↓</t>
    </r>
  </si>
  <si>
    <r>
      <t>E - Mehrverbrauch (A)</t>
    </r>
    <r>
      <rPr>
        <b/>
        <sz val="11"/>
        <color theme="1"/>
        <rFont val="Calibri"/>
        <family val="2"/>
      </rPr>
      <t>↓</t>
    </r>
  </si>
  <si>
    <t>Summe hochgerechnete Leitwert - Belastung</t>
  </si>
  <si>
    <t>Kontrollspalte / Übertrag</t>
  </si>
  <si>
    <t>MINIMUM</t>
  </si>
  <si>
    <t>SUMME Negativ</t>
  </si>
  <si>
    <t>NETTOSUMME positiv</t>
  </si>
  <si>
    <t>ANZAHL negativ</t>
  </si>
  <si>
    <t>ANZAHL positv</t>
  </si>
  <si>
    <t>MITTEL positiv</t>
  </si>
  <si>
    <t>MITTEL negativ</t>
  </si>
  <si>
    <t>MASSGEBENDES VERHÄLTNIS</t>
  </si>
  <si>
    <t>(BED: G241 &lt; 0,20!)</t>
  </si>
  <si>
    <t>Hilfe</t>
  </si>
  <si>
    <t>BEISPIEL</t>
  </si>
  <si>
    <t>BEFUND:</t>
  </si>
  <si>
    <r>
      <t xml:space="preserve">Reduz. Leitwertbelastung (A) </t>
    </r>
    <r>
      <rPr>
        <b/>
        <sz val="11"/>
        <rFont val="Calibri"/>
        <family val="2"/>
      </rPr>
      <t>↓</t>
    </r>
  </si>
  <si>
    <r>
      <t>E - Mehrverbrauch (A)</t>
    </r>
    <r>
      <rPr>
        <b/>
        <sz val="11"/>
        <rFont val="Calibri"/>
        <family val="2"/>
      </rPr>
      <t>↓</t>
    </r>
  </si>
  <si>
    <r>
      <t xml:space="preserve">erf. höhere Dämmstärke (B) </t>
    </r>
    <r>
      <rPr>
        <b/>
        <sz val="11"/>
        <rFont val="Calibri"/>
        <family val="2"/>
      </rPr>
      <t>→</t>
    </r>
  </si>
  <si>
    <t>Nutzenabschlag (sz) % (wenn 0%, dann Eingabe &gt; 0,0!)</t>
  </si>
  <si>
    <r>
      <t xml:space="preserve">Reduz. Leitwertbelastung (A) </t>
    </r>
    <r>
      <rPr>
        <b/>
        <sz val="11"/>
        <color theme="0"/>
        <rFont val="Calibri"/>
        <family val="2"/>
      </rPr>
      <t>↓</t>
    </r>
  </si>
  <si>
    <r>
      <t>E - Mehrverbrauch (A)</t>
    </r>
    <r>
      <rPr>
        <b/>
        <sz val="11"/>
        <color theme="0"/>
        <rFont val="Calibri"/>
        <family val="2"/>
      </rPr>
      <t>↓</t>
    </r>
  </si>
  <si>
    <r>
      <t xml:space="preserve">erf. höhere Dämmstärke (B) </t>
    </r>
    <r>
      <rPr>
        <b/>
        <sz val="11"/>
        <color theme="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</si>
</sst>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color theme="1"/>
      <name val="Calibri"/>
      <family val="2"/>
      <scheme val="minor"/>
    </font>
    <font>
      <b/>
      <sz val="11"/>
      <color theme="1"/>
      <name val="Calibri"/>
      <family val="2"/>
      <scheme val="minor"/>
    </font>
    <font>
      <b/>
      <sz val="11"/>
      <color theme="1"/>
      <name val="Calibri"/>
      <family val="2"/>
    </font>
    <font>
      <b/>
      <sz val="18"/>
      <color rgb="FFFF0000"/>
      <name val="Calibri"/>
      <family val="2"/>
      <scheme val="minor"/>
    </font>
    <font>
      <b/>
      <sz val="11"/>
      <color rgb="FFFF0000"/>
      <name val="Calibri"/>
      <family val="2"/>
      <scheme val="minor"/>
    </font>
    <font>
      <b/>
      <sz val="11"/>
      <color rgb="FF0070C0"/>
      <name val="Calibri"/>
      <family val="2"/>
      <scheme val="minor"/>
    </font>
    <font>
      <b/>
      <sz val="16"/>
      <color rgb="FFFF0000"/>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1"/>
      <name val="Calibri"/>
      <family val="2"/>
    </font>
    <font>
      <sz val="11"/>
      <color rgb="FFFF0000"/>
      <name val="Calibri"/>
      <family val="2"/>
      <scheme val="minor"/>
    </font>
    <font>
      <b/>
      <sz val="11"/>
      <color theme="0"/>
      <name val="Calibri"/>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20">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top style="dotted">
        <color auto="1"/>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bottom/>
      <diagonal/>
    </border>
    <border>
      <left style="dotted">
        <color auto="1"/>
      </left>
      <right/>
      <top/>
      <bottom/>
      <diagonal/>
    </border>
    <border>
      <left style="thick">
        <color rgb="FFFF0000"/>
      </left>
      <right style="dotted">
        <color auto="1"/>
      </right>
      <top style="thick">
        <color rgb="FFFF0000"/>
      </top>
      <bottom style="dotted">
        <color auto="1"/>
      </bottom>
      <diagonal/>
    </border>
    <border>
      <left style="dotted">
        <color auto="1"/>
      </left>
      <right style="thick">
        <color rgb="FFFF0000"/>
      </right>
      <top style="thick">
        <color rgb="FFFF0000"/>
      </top>
      <bottom style="dotted">
        <color auto="1"/>
      </bottom>
      <diagonal/>
    </border>
    <border>
      <left style="thick">
        <color rgb="FFFF0000"/>
      </left>
      <right style="dotted">
        <color auto="1"/>
      </right>
      <top style="dotted">
        <color auto="1"/>
      </top>
      <bottom style="dotted">
        <color auto="1"/>
      </bottom>
      <diagonal/>
    </border>
    <border>
      <left style="dotted">
        <color auto="1"/>
      </left>
      <right style="thick">
        <color rgb="FFFF0000"/>
      </right>
      <top style="dotted">
        <color auto="1"/>
      </top>
      <bottom style="dotted">
        <color auto="1"/>
      </bottom>
      <diagonal/>
    </border>
    <border>
      <left style="thick">
        <color rgb="FFFF0000"/>
      </left>
      <right/>
      <top style="dotted">
        <color auto="1"/>
      </top>
      <bottom/>
      <diagonal/>
    </border>
    <border>
      <left/>
      <right style="thick">
        <color rgb="FFFF0000"/>
      </right>
      <top style="dotted">
        <color auto="1"/>
      </top>
      <bottom/>
      <diagonal/>
    </border>
    <border>
      <left style="thick">
        <color rgb="FFFF0000"/>
      </left>
      <right/>
      <top/>
      <bottom/>
      <diagonal/>
    </border>
    <border>
      <left/>
      <right style="thick">
        <color rgb="FFFF0000"/>
      </right>
      <top/>
      <bottom/>
      <diagonal/>
    </border>
    <border>
      <left style="thick">
        <color rgb="FFFF0000"/>
      </left>
      <right/>
      <top/>
      <bottom style="dotted">
        <color auto="1"/>
      </bottom>
      <diagonal/>
    </border>
    <border>
      <left/>
      <right style="thick">
        <color rgb="FFFF0000"/>
      </right>
      <top/>
      <bottom style="dotted">
        <color auto="1"/>
      </bottom>
      <diagonal/>
    </border>
    <border>
      <left style="thick">
        <color rgb="FFFF0000"/>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146">
    <xf numFmtId="0" fontId="0" fillId="0" borderId="0" xfId="0"/>
    <xf numFmtId="0" fontId="0" fillId="0" borderId="0" xfId="0" applyAlignment="1">
      <alignment horizontal="center"/>
    </xf>
    <xf numFmtId="0" fontId="0" fillId="0" borderId="1" xfId="0" applyBorder="1"/>
    <xf numFmtId="0" fontId="2" fillId="4" borderId="0" xfId="0" applyFont="1" applyFill="1"/>
    <xf numFmtId="0" fontId="2" fillId="0" borderId="1" xfId="0" applyFont="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0" borderId="1" xfId="0" applyFont="1" applyBorder="1"/>
    <xf numFmtId="0" fontId="2" fillId="4" borderId="1" xfId="0" applyFont="1" applyFill="1" applyBorder="1"/>
    <xf numFmtId="0" fontId="0" fillId="3" borderId="0" xfId="0" applyFill="1"/>
    <xf numFmtId="0" fontId="2" fillId="3" borderId="0" xfId="0" applyFont="1" applyFill="1"/>
    <xf numFmtId="0" fontId="1" fillId="3" borderId="0" xfId="0" applyFont="1" applyFill="1"/>
    <xf numFmtId="0" fontId="2" fillId="4" borderId="1" xfId="0" applyFont="1" applyFill="1" applyBorder="1" applyAlignment="1">
      <alignment horizontal="center"/>
    </xf>
    <xf numFmtId="0" fontId="0" fillId="4" borderId="0" xfId="0" applyFill="1"/>
    <xf numFmtId="0" fontId="0" fillId="0" borderId="3"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2" fillId="4" borderId="4" xfId="0" applyFont="1" applyFill="1" applyBorder="1" applyAlignment="1">
      <alignment horizontal="center"/>
    </xf>
    <xf numFmtId="0" fontId="2" fillId="0" borderId="0" xfId="0" applyFont="1"/>
    <xf numFmtId="0" fontId="5" fillId="0" borderId="1" xfId="0" applyFont="1" applyBorder="1"/>
    <xf numFmtId="0" fontId="6" fillId="0" borderId="1" xfId="0" applyFont="1" applyBorder="1"/>
    <xf numFmtId="0" fontId="6" fillId="2" borderId="1" xfId="0" applyFont="1" applyFill="1" applyBorder="1" applyAlignment="1">
      <alignment horizontal="center"/>
    </xf>
    <xf numFmtId="0" fontId="5" fillId="2" borderId="1" xfId="0" applyFont="1" applyFill="1" applyBorder="1" applyAlignment="1">
      <alignment horizontal="center"/>
    </xf>
    <xf numFmtId="0" fontId="0" fillId="0" borderId="1" xfId="0" applyBorder="1" applyAlignment="1">
      <alignment horizontal="center"/>
    </xf>
    <xf numFmtId="0" fontId="6" fillId="5" borderId="0" xfId="0" applyFont="1" applyFill="1" applyAlignment="1">
      <alignment horizontal="center"/>
    </xf>
    <xf numFmtId="0" fontId="6" fillId="5" borderId="1" xfId="0" applyFont="1" applyFill="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2" fillId="4" borderId="6" xfId="0" applyFont="1" applyFill="1" applyBorder="1" applyAlignment="1">
      <alignment horizontal="center"/>
    </xf>
    <xf numFmtId="0" fontId="2" fillId="0" borderId="6" xfId="0" applyFont="1" applyBorder="1" applyAlignment="1">
      <alignment horizontal="center"/>
    </xf>
    <xf numFmtId="0" fontId="2" fillId="4" borderId="7" xfId="0" applyFont="1" applyFill="1" applyBorder="1" applyAlignment="1">
      <alignment horizontal="center"/>
    </xf>
    <xf numFmtId="0" fontId="2" fillId="0" borderId="0" xfId="0" applyFont="1" applyAlignment="1">
      <alignment horizontal="center"/>
    </xf>
    <xf numFmtId="0" fontId="0" fillId="2" borderId="0" xfId="0" applyFill="1"/>
    <xf numFmtId="0" fontId="2" fillId="2" borderId="0" xfId="0" applyFont="1" applyFill="1" applyAlignment="1">
      <alignment horizontal="center"/>
    </xf>
    <xf numFmtId="0" fontId="2" fillId="6" borderId="0" xfId="0" applyFont="1" applyFill="1" applyAlignment="1">
      <alignment horizontal="center"/>
    </xf>
    <xf numFmtId="0" fontId="2" fillId="7" borderId="0" xfId="0" applyFont="1" applyFill="1" applyAlignment="1">
      <alignment horizontal="center"/>
    </xf>
    <xf numFmtId="0" fontId="2" fillId="0" borderId="0" xfId="0" applyFont="1" applyAlignment="1">
      <alignment horizontal="right"/>
    </xf>
    <xf numFmtId="0" fontId="5" fillId="0" borderId="3" xfId="0" applyFont="1" applyBorder="1" applyAlignment="1">
      <alignment horizontal="center"/>
    </xf>
    <xf numFmtId="0" fontId="0" fillId="0" borderId="5" xfId="0" applyBorder="1"/>
    <xf numFmtId="0" fontId="2" fillId="2" borderId="1"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0" fillId="0" borderId="8" xfId="0" applyBorder="1"/>
    <xf numFmtId="0" fontId="0" fillId="0" borderId="9" xfId="0" applyBorder="1"/>
    <xf numFmtId="0" fontId="0" fillId="0" borderId="10" xfId="0" applyBorder="1"/>
    <xf numFmtId="0" fontId="0" fillId="0" borderId="11" xfId="0" applyBorder="1"/>
    <xf numFmtId="0" fontId="2" fillId="0" borderId="10" xfId="0" applyFont="1" applyBorder="1" applyAlignment="1">
      <alignment horizontal="center"/>
    </xf>
    <xf numFmtId="0" fontId="2" fillId="0" borderId="11" xfId="0" applyFont="1" applyBorder="1" applyAlignment="1">
      <alignment horizontal="center"/>
    </xf>
    <xf numFmtId="0" fontId="0" fillId="0" borderId="14" xfId="0" applyBorder="1"/>
    <xf numFmtId="0" fontId="0" fillId="0" borderId="15" xfId="0" applyBorder="1"/>
    <xf numFmtId="0" fontId="6" fillId="0" borderId="14" xfId="0" applyFont="1" applyBorder="1" applyAlignment="1">
      <alignment horizontal="center"/>
    </xf>
    <xf numFmtId="0" fontId="6" fillId="0" borderId="15" xfId="0" applyFont="1" applyBorder="1" applyAlignment="1">
      <alignment horizontal="center"/>
    </xf>
    <xf numFmtId="0" fontId="5" fillId="0" borderId="1" xfId="0" applyFont="1" applyBorder="1" applyAlignment="1">
      <alignment horizontal="right"/>
    </xf>
    <xf numFmtId="0" fontId="0" fillId="0" borderId="18" xfId="0" applyBorder="1"/>
    <xf numFmtId="0" fontId="0" fillId="0" borderId="19" xfId="0" applyBorder="1"/>
    <xf numFmtId="0" fontId="6" fillId="0" borderId="3" xfId="0" applyFont="1" applyBorder="1" applyAlignment="1">
      <alignment horizontal="center"/>
    </xf>
    <xf numFmtId="0" fontId="6" fillId="0" borderId="3" xfId="0" applyFont="1" applyBorder="1"/>
    <xf numFmtId="0" fontId="9" fillId="0" borderId="0" xfId="0" applyFont="1"/>
    <xf numFmtId="0" fontId="9" fillId="0" borderId="0" xfId="0" applyFont="1" applyAlignment="1">
      <alignment horizontal="center"/>
    </xf>
    <xf numFmtId="0" fontId="8" fillId="0" borderId="0" xfId="0" applyFont="1" applyAlignment="1">
      <alignment horizontal="center"/>
    </xf>
    <xf numFmtId="0" fontId="8" fillId="0" borderId="0" xfId="0" applyFont="1"/>
    <xf numFmtId="0" fontId="8" fillId="0" borderId="0" xfId="0" applyFont="1" applyAlignment="1">
      <alignment horizontal="right"/>
    </xf>
    <xf numFmtId="0" fontId="0" fillId="4" borderId="0" xfId="0" applyFill="1" applyAlignment="1">
      <alignment horizontal="center"/>
    </xf>
    <xf numFmtId="0" fontId="10" fillId="0" borderId="0" xfId="0" applyFont="1"/>
    <xf numFmtId="0" fontId="11" fillId="0" borderId="1" xfId="0" applyFont="1" applyBorder="1"/>
    <xf numFmtId="0" fontId="10" fillId="0" borderId="1" xfId="0" applyFont="1" applyBorder="1"/>
    <xf numFmtId="0" fontId="10" fillId="0" borderId="0" xfId="0" applyFont="1" applyAlignment="1">
      <alignment horizontal="center"/>
    </xf>
    <xf numFmtId="0" fontId="11" fillId="0" borderId="0" xfId="0" applyFont="1" applyAlignment="1">
      <alignment horizontal="center"/>
    </xf>
    <xf numFmtId="0" fontId="11" fillId="0" borderId="0" xfId="0" applyFont="1"/>
    <xf numFmtId="0" fontId="0" fillId="10" borderId="0" xfId="0" applyFill="1"/>
    <xf numFmtId="0" fontId="6" fillId="5" borderId="3" xfId="0" applyFont="1" applyFill="1" applyBorder="1" applyAlignment="1">
      <alignment horizontal="center"/>
    </xf>
    <xf numFmtId="0" fontId="6" fillId="0" borderId="5" xfId="0" applyFont="1" applyBorder="1" applyAlignment="1">
      <alignment horizontal="center"/>
    </xf>
    <xf numFmtId="0" fontId="2" fillId="2" borderId="1" xfId="0" applyFont="1" applyFill="1" applyBorder="1" applyAlignment="1">
      <alignment horizontal="center"/>
    </xf>
    <xf numFmtId="0" fontId="0" fillId="0" borderId="3" xfId="0" applyBorder="1" applyAlignment="1">
      <alignment horizontal="center"/>
    </xf>
    <xf numFmtId="0" fontId="4" fillId="3" borderId="0" xfId="0" applyFont="1" applyFill="1" applyAlignment="1">
      <alignment horizontal="center"/>
    </xf>
    <xf numFmtId="0" fontId="0" fillId="3" borderId="0" xfId="0" applyFill="1"/>
    <xf numFmtId="0" fontId="5" fillId="3" borderId="3" xfId="0" applyFont="1" applyFill="1" applyBorder="1" applyAlignment="1">
      <alignment horizontal="center"/>
    </xf>
    <xf numFmtId="0" fontId="5" fillId="0" borderId="5" xfId="0" applyFont="1" applyBorder="1" applyAlignment="1">
      <alignment horizontal="center"/>
    </xf>
    <xf numFmtId="0" fontId="5" fillId="8" borderId="3" xfId="0" applyFont="1" applyFill="1" applyBorder="1" applyAlignment="1">
      <alignment horizontal="center"/>
    </xf>
    <xf numFmtId="0" fontId="0" fillId="0" borderId="5" xfId="0" applyBorder="1"/>
    <xf numFmtId="0" fontId="2" fillId="2" borderId="1"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7" fillId="9"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 fillId="3" borderId="0" xfId="0" applyFont="1" applyFill="1" applyProtection="1"/>
    <xf numFmtId="0" fontId="0" fillId="3" borderId="0" xfId="0" applyFill="1" applyProtection="1"/>
    <xf numFmtId="0" fontId="4" fillId="3" borderId="0" xfId="0" applyFont="1" applyFill="1" applyAlignment="1" applyProtection="1">
      <alignment horizontal="center"/>
    </xf>
    <xf numFmtId="0" fontId="0" fillId="3" borderId="0" xfId="0" applyFill="1" applyProtection="1"/>
    <xf numFmtId="0" fontId="0" fillId="0" borderId="0" xfId="0" applyProtection="1"/>
    <xf numFmtId="0" fontId="2" fillId="3" borderId="0" xfId="0" applyFont="1" applyFill="1" applyProtection="1"/>
    <xf numFmtId="0" fontId="0" fillId="0" borderId="8"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2" fillId="4" borderId="1" xfId="0" applyFont="1" applyFill="1" applyBorder="1" applyProtection="1"/>
    <xf numFmtId="0" fontId="0" fillId="0" borderId="1" xfId="0" applyBorder="1" applyProtection="1"/>
    <xf numFmtId="0" fontId="0" fillId="0" borderId="3" xfId="0" applyBorder="1" applyProtection="1"/>
    <xf numFmtId="0" fontId="2" fillId="0" borderId="1" xfId="0" applyFont="1" applyBorder="1" applyProtection="1"/>
    <xf numFmtId="0" fontId="7" fillId="9" borderId="12" xfId="0" applyFont="1" applyFill="1" applyBorder="1" applyAlignment="1" applyProtection="1">
      <alignment horizontal="center" vertical="center"/>
    </xf>
    <xf numFmtId="0" fontId="0" fillId="0" borderId="13" xfId="0" applyBorder="1" applyAlignment="1" applyProtection="1">
      <alignment vertical="center"/>
    </xf>
    <xf numFmtId="0" fontId="2" fillId="0" borderId="3" xfId="0" applyFont="1" applyBorder="1" applyAlignment="1" applyProtection="1">
      <alignment horizontal="center"/>
    </xf>
    <xf numFmtId="0" fontId="0" fillId="0" borderId="14" xfId="0" applyBorder="1" applyAlignment="1" applyProtection="1">
      <alignment vertical="center"/>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4" xfId="0" applyBorder="1" applyProtection="1"/>
    <xf numFmtId="0" fontId="0" fillId="0" borderId="15" xfId="0" applyBorder="1" applyProtection="1"/>
    <xf numFmtId="0" fontId="2" fillId="0" borderId="1" xfId="0" applyFont="1" applyBorder="1" applyAlignment="1" applyProtection="1">
      <alignment horizontal="center"/>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5" fillId="0" borderId="1" xfId="0" applyFont="1" applyBorder="1" applyAlignment="1" applyProtection="1">
      <alignment horizontal="right"/>
    </xf>
    <xf numFmtId="0" fontId="0" fillId="0" borderId="18" xfId="0" applyBorder="1" applyProtection="1"/>
    <xf numFmtId="0" fontId="0" fillId="0" borderId="19" xfId="0" applyBorder="1" applyProtection="1"/>
    <xf numFmtId="0" fontId="6" fillId="0" borderId="1" xfId="0" applyFont="1" applyBorder="1" applyProtection="1"/>
    <xf numFmtId="0" fontId="6" fillId="0" borderId="3" xfId="0" applyFont="1" applyBorder="1" applyAlignment="1" applyProtection="1">
      <alignment horizontal="center"/>
    </xf>
    <xf numFmtId="0" fontId="6" fillId="0" borderId="3" xfId="0" applyFont="1" applyBorder="1" applyProtection="1"/>
    <xf numFmtId="0" fontId="2" fillId="4" borderId="1" xfId="0" applyFont="1" applyFill="1" applyBorder="1" applyAlignment="1" applyProtection="1">
      <alignment horizontal="center"/>
    </xf>
    <xf numFmtId="0" fontId="2" fillId="4" borderId="4" xfId="0" applyFont="1" applyFill="1" applyBorder="1" applyAlignment="1" applyProtection="1">
      <alignment horizontal="center"/>
    </xf>
    <xf numFmtId="0" fontId="2" fillId="4" borderId="0" xfId="0" applyFont="1" applyFill="1" applyProtection="1"/>
    <xf numFmtId="0" fontId="2" fillId="0" borderId="6" xfId="0" applyFont="1" applyBorder="1" applyAlignment="1" applyProtection="1">
      <alignment horizontal="center"/>
    </xf>
    <xf numFmtId="0" fontId="2" fillId="3" borderId="1" xfId="0" applyFont="1" applyFill="1" applyBorder="1" applyAlignment="1" applyProtection="1">
      <alignment horizontal="center"/>
    </xf>
    <xf numFmtId="0" fontId="0" fillId="0" borderId="0" xfId="0" applyAlignment="1" applyProtection="1">
      <alignment horizontal="center"/>
    </xf>
    <xf numFmtId="0" fontId="0" fillId="4" borderId="0" xfId="0" applyFill="1" applyProtection="1"/>
    <xf numFmtId="0" fontId="2" fillId="4" borderId="6" xfId="0" applyFont="1" applyFill="1" applyBorder="1" applyAlignment="1" applyProtection="1">
      <alignment horizontal="center"/>
    </xf>
    <xf numFmtId="0" fontId="0" fillId="4" borderId="0" xfId="0" applyFill="1" applyAlignment="1" applyProtection="1">
      <alignment horizontal="center"/>
    </xf>
    <xf numFmtId="0" fontId="2" fillId="4" borderId="7" xfId="0" applyFont="1" applyFill="1" applyBorder="1" applyAlignment="1" applyProtection="1">
      <alignment horizontal="center"/>
    </xf>
    <xf numFmtId="0" fontId="9" fillId="0" borderId="0" xfId="0" applyFont="1" applyProtection="1"/>
    <xf numFmtId="0" fontId="8" fillId="0" borderId="1" xfId="0" applyFont="1" applyBorder="1" applyProtection="1"/>
    <xf numFmtId="0" fontId="9" fillId="0" borderId="1" xfId="0" applyFont="1" applyBorder="1" applyProtection="1"/>
    <xf numFmtId="0" fontId="9" fillId="0" borderId="0" xfId="0" applyFont="1" applyAlignment="1" applyProtection="1">
      <alignment horizontal="center"/>
    </xf>
    <xf numFmtId="0" fontId="13" fillId="0" borderId="0" xfId="0" applyFont="1" applyProtection="1"/>
    <xf numFmtId="0" fontId="8" fillId="0" borderId="0" xfId="0" applyFont="1" applyAlignment="1" applyProtection="1">
      <alignment horizontal="center"/>
    </xf>
    <xf numFmtId="0" fontId="8" fillId="0" borderId="0" xfId="0" applyFont="1" applyProtection="1"/>
    <xf numFmtId="0" fontId="8" fillId="0" borderId="0" xfId="0" applyFont="1" applyAlignment="1" applyProtection="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236220</xdr:colOff>
      <xdr:row>0</xdr:row>
      <xdr:rowOff>99060</xdr:rowOff>
    </xdr:from>
    <xdr:to>
      <xdr:col>8</xdr:col>
      <xdr:colOff>0</xdr:colOff>
      <xdr:row>72</xdr:row>
      <xdr:rowOff>114300</xdr:rowOff>
    </xdr:to>
    <xdr:sp macro="" textlink="">
      <xdr:nvSpPr>
        <xdr:cNvPr id="2" name="Textfeld 1">
          <a:extLst>
            <a:ext uri="{FF2B5EF4-FFF2-40B4-BE49-F238E27FC236}">
              <a16:creationId xmlns:a16="http://schemas.microsoft.com/office/drawing/2014/main" id="{A1E30A8F-3F33-16BD-473D-A76999F04DF4}"/>
            </a:ext>
          </a:extLst>
        </xdr:cNvPr>
        <xdr:cNvSpPr txBox="1"/>
      </xdr:nvSpPr>
      <xdr:spPr>
        <a:xfrm>
          <a:off x="236220" y="99060"/>
          <a:ext cx="5516880" cy="131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e-CH" sz="1100" b="1" kern="100">
              <a:effectLst/>
              <a:latin typeface="Calibri" panose="020F0502020204030204" pitchFamily="34" charset="0"/>
              <a:ea typeface="Calibri" panose="020F0502020204030204" pitchFamily="34" charset="0"/>
              <a:cs typeface="Times New Roman" panose="02020603050405020304" pitchFamily="18" charset="0"/>
            </a:rPr>
            <a:t>ANLASS</a:t>
          </a:r>
          <a:endParaRPr lang="de-CH" sz="1100" kern="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Mit Variante 1 des Onlineprogramms P11 «Öko – optimale Dämmung der Gebäudehülle» wird              – ausgehend vom vorgegebenen Wert U’soll – </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auf direktem Weg</a:t>
          </a:r>
          <a:r>
            <a:rPr lang="de-CH" sz="1100" kern="100">
              <a:effectLst/>
              <a:latin typeface="Calibri" panose="020F0502020204030204" pitchFamily="34" charset="0"/>
              <a:ea typeface="Calibri" panose="020F0502020204030204" pitchFamily="34" charset="0"/>
              <a:cs typeface="Times New Roman" panose="02020603050405020304" pitchFamily="18" charset="0"/>
            </a:rPr>
            <a:t> die günstigste Aufteilung der Dämmstärken je Dämmstoff und Bauteil berechnet. Gleichzeitig wird die daraus resultierende, auf den Planungshorizont hochgerechnete minimale Leitwertbelastung (reduziert um den Faktor 36!) ausgewiesen. </a:t>
          </a: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Im Gegensatz zur Variante 2 des gleichen Programms, bei welcher eine bestehende / geplante Dämmschichten – Kombination mit resultierendem Wert U’soll und entsprechender Leitwertbelastung auf die günstigste Schichtenverteilung für gleichbleibenden Wert U’soll  auf das Optimum hin «umgeschichtet» und der Einspareffekt ausgewiesen wird, kann bei Variante 1 kein Vergleich mit einem ungünstigeren Vorhaben angestellt werden. </a:t>
          </a: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Um sicherzustellen (oder «zu beweisen»), dass die Optimierung nach Variante 1 zum günstigsten Ergebnis (kleinstmögliche Leitwertbelastung für vorgeschriebenen Wert U’soll) geführt hat, soll mit diesem Excel – Sheet eine entsprechende «OPTIMIERUNGSKONTROLLE» ermöglicht werden.</a:t>
          </a: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Wollte man das Optimierungsergebnis aus Variante 1 (direkte Vorgabe eines einzuhaltenden Wertes U’soll) derart überprüfen, dass man die gefundenen Dämmstärken ins Optimierungsprogramm Variante 2 (als bauseits vorgegebene, und hier zu optimierende Dämmstärken) eingibt, erzeugte man damit einen unzulässigen «Zirkelbezug». Als Ergebnis würde zwar die Meldung folgen, dass die eingegebenen Dämmstärken schon der optimalen Aufteilung entsprechen. Sollte jedoch Variante 1 ein falsches Ergebnis liefern, liefert in der Umkehrung  Variante 2 ihrerseits eine falsche Beurteilung.</a:t>
          </a:r>
        </a:p>
        <a:p>
          <a:pPr>
            <a:lnSpc>
              <a:spcPct val="107000"/>
            </a:lnSpc>
            <a:spcAft>
              <a:spcPts val="800"/>
            </a:spcAft>
          </a:pPr>
          <a:r>
            <a:rPr lang="de-CH" sz="1100" b="1" kern="100">
              <a:effectLst/>
              <a:latin typeface="Calibri" panose="020F0502020204030204" pitchFamily="34" charset="0"/>
              <a:ea typeface="Calibri" panose="020F0502020204030204" pitchFamily="34" charset="0"/>
              <a:cs typeface="Times New Roman" panose="02020603050405020304" pitchFamily="18" charset="0"/>
            </a:rPr>
            <a:t>Es braucht ein unabhängiges Kontrollinstrument: </a:t>
          </a:r>
          <a:endParaRPr lang="de-CH" sz="1100" kern="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Ausgehend von der Anzahl erfasster Bauteile (min. n = 2, max. n = 8) mit den bekannten, optimierten Dämmstärken und spezifischen Leitwertbelastungen, wird nach dem Ansatz [n*(n-1)/(1*2)] die entsprechende Anzahl «2er – Paarungen» (</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1</a:t>
          </a:r>
          <a:r>
            <a:rPr lang="de-CH" sz="1100" kern="100">
              <a:effectLst/>
              <a:latin typeface="Calibri" panose="020F0502020204030204" pitchFamily="34" charset="0"/>
              <a:ea typeface="Calibri" panose="020F0502020204030204" pitchFamily="34" charset="0"/>
              <a:cs typeface="Times New Roman" panose="02020603050405020304" pitchFamily="18" charset="0"/>
            </a:rPr>
            <a:t>+2;</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1</a:t>
          </a:r>
          <a:r>
            <a:rPr lang="de-CH" sz="1100" kern="100">
              <a:effectLst/>
              <a:latin typeface="Calibri" panose="020F0502020204030204" pitchFamily="34" charset="0"/>
              <a:ea typeface="Calibri" panose="020F0502020204030204" pitchFamily="34" charset="0"/>
              <a:cs typeface="Times New Roman" panose="02020603050405020304" pitchFamily="18" charset="0"/>
            </a:rPr>
            <a:t>+3; </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1</a:t>
          </a:r>
          <a:r>
            <a:rPr lang="de-CH" sz="1100" kern="100">
              <a:effectLst/>
              <a:latin typeface="Calibri" panose="020F0502020204030204" pitchFamily="34" charset="0"/>
              <a:ea typeface="Calibri" panose="020F0502020204030204" pitchFamily="34" charset="0"/>
              <a:cs typeface="Times New Roman" panose="02020603050405020304" pitchFamily="18" charset="0"/>
            </a:rPr>
            <a:t>+4 ……….</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6</a:t>
          </a:r>
          <a:r>
            <a:rPr lang="de-CH" sz="1100" kern="100">
              <a:effectLst/>
              <a:latin typeface="Calibri" panose="020F0502020204030204" pitchFamily="34" charset="0"/>
              <a:ea typeface="Calibri" panose="020F0502020204030204" pitchFamily="34" charset="0"/>
              <a:cs typeface="Times New Roman" panose="02020603050405020304" pitchFamily="18" charset="0"/>
            </a:rPr>
            <a:t>+7; </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6</a:t>
          </a:r>
          <a:r>
            <a:rPr lang="de-CH" sz="1100" kern="100">
              <a:effectLst/>
              <a:latin typeface="Calibri" panose="020F0502020204030204" pitchFamily="34" charset="0"/>
              <a:ea typeface="Calibri" panose="020F0502020204030204" pitchFamily="34" charset="0"/>
              <a:cs typeface="Times New Roman" panose="02020603050405020304" pitchFamily="18" charset="0"/>
            </a:rPr>
            <a:t>+8; </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7</a:t>
          </a:r>
          <a:r>
            <a:rPr lang="de-CH" sz="1100" kern="100">
              <a:effectLst/>
              <a:latin typeface="Calibri" panose="020F0502020204030204" pitchFamily="34" charset="0"/>
              <a:ea typeface="Calibri" panose="020F0502020204030204" pitchFamily="34" charset="0"/>
              <a:cs typeface="Times New Roman" panose="02020603050405020304" pitchFamily="18" charset="0"/>
            </a:rPr>
            <a:t>+8 – bei 8 Bauteilen somit 28 Paarungen) gebildet. Für den jeweils </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e</a:t>
          </a:r>
          <a:r>
            <a:rPr lang="de-CH" sz="1100" kern="100">
              <a:effectLst/>
              <a:latin typeface="Calibri" panose="020F0502020204030204" pitchFamily="34" charset="0"/>
              <a:ea typeface="Calibri" panose="020F0502020204030204" pitchFamily="34" charset="0"/>
              <a:cs typeface="Times New Roman" panose="02020603050405020304" pitchFamily="18" charset="0"/>
            </a:rPr>
            <a:t>rsten der zwei Bauteile wird die optimierte Dämmstärke um einen Faktor K (stets um denselben, z.B. K = 0.9) reduziert. Es folgt daraus für diesen Bauteil ein Übermass an spezifischem Wärmeverlust, welches durch Umrechnung über eine erhöhte Dämmstärke des zweiten Bauteils kompensiert werden muss. Der zum Reduktionsfaktor K (z.B. 0.9) proportionalen Minderung an Leitwertbelastung für Bauteil X steht damit eine aus vergrösserter Dämmstärke für Bauteil Y</a:t>
          </a:r>
          <a:r>
            <a:rPr lang="de-CH" sz="1100" kern="100" baseline="0">
              <a:effectLst/>
              <a:latin typeface="Calibri" panose="020F0502020204030204" pitchFamily="34" charset="0"/>
              <a:ea typeface="Calibri" panose="020F0502020204030204" pitchFamily="34" charset="0"/>
              <a:cs typeface="Times New Roman" panose="02020603050405020304" pitchFamily="18" charset="0"/>
            </a:rPr>
            <a:t> </a:t>
          </a:r>
          <a:r>
            <a:rPr lang="de-CH" sz="1100" kern="100">
              <a:effectLst/>
              <a:latin typeface="Calibri" panose="020F0502020204030204" pitchFamily="34" charset="0"/>
              <a:ea typeface="Calibri" panose="020F0502020204030204" pitchFamily="34" charset="0"/>
              <a:cs typeface="Times New Roman" panose="02020603050405020304" pitchFamily="18" charset="0"/>
            </a:rPr>
            <a:t> gesteigerte Leitwertbelastung entgegen. Sofern die Differenz aus den spezifischen Leitwertsummen für Bauteil X + Bauteil Y  </a:t>
          </a:r>
          <a:r>
            <a:rPr lang="de-CH" sz="1100" u="sng" kern="100">
              <a:effectLst/>
              <a:latin typeface="Calibri" panose="020F0502020204030204" pitchFamily="34" charset="0"/>
              <a:ea typeface="Calibri" panose="020F0502020204030204" pitchFamily="34" charset="0"/>
              <a:cs typeface="Times New Roman" panose="02020603050405020304" pitchFamily="18" charset="0"/>
            </a:rPr>
            <a:t>positiv</a:t>
          </a:r>
          <a:r>
            <a:rPr lang="de-CH" sz="1100" u="sng" kern="100">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a:t>
          </a:r>
          <a:r>
            <a:rPr lang="de-CH" sz="1100" kern="100">
              <a:effectLst/>
              <a:latin typeface="Calibri" panose="020F0502020204030204" pitchFamily="34" charset="0"/>
              <a:ea typeface="Calibri" panose="020F0502020204030204" pitchFamily="34" charset="0"/>
              <a:cs typeface="Times New Roman" panose="02020603050405020304" pitchFamily="18" charset="0"/>
            </a:rPr>
            <a:t> ausfällt, stellt die kontrollierte Optimierung die bessere Lösung als die verglichene Modifikation dar, da die modifizierten Dämmschichten für Bauteil X und Bauteil Y zusammen</a:t>
          </a:r>
          <a:r>
            <a:rPr lang="de-CH" sz="1100" kern="100" baseline="0">
              <a:effectLst/>
              <a:latin typeface="Calibri" panose="020F0502020204030204" pitchFamily="34" charset="0"/>
              <a:ea typeface="Calibri" panose="020F0502020204030204" pitchFamily="34" charset="0"/>
              <a:cs typeface="Times New Roman" panose="02020603050405020304" pitchFamily="18" charset="0"/>
            </a:rPr>
            <a:t> </a:t>
          </a:r>
          <a:r>
            <a:rPr lang="de-CH" sz="1100" kern="100">
              <a:effectLst/>
              <a:latin typeface="Calibri" panose="020F0502020204030204" pitchFamily="34" charset="0"/>
              <a:ea typeface="Calibri" panose="020F0502020204030204" pitchFamily="34" charset="0"/>
              <a:cs typeface="Times New Roman" panose="02020603050405020304" pitchFamily="18" charset="0"/>
            </a:rPr>
            <a:t> eine höhere Leitwertbelastung zur Folge hätten.</a:t>
          </a: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 Bei maximal 28 Paarungen nach obiger Regel erfährt stets der erste der beiden Bauteile eine Reduktion seiner Dämmschicht um den Faktor K. Damit auch der zweite Bauteil in der Dämmstärke gleich oft um den Faktor K reduziert wird, erfährt das ganze Kontrollprozedere bei 8 Bauteilen somit total 56 Kontrollvergleiche.  </a:t>
          </a: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 </a:t>
          </a:r>
          <a:r>
            <a:rPr lang="de-CH" sz="1100" b="1" kern="100">
              <a:effectLst/>
              <a:latin typeface="Calibri" panose="020F0502020204030204" pitchFamily="34" charset="0"/>
              <a:ea typeface="Calibri" panose="020F0502020204030204" pitchFamily="34" charset="0"/>
              <a:cs typeface="Times New Roman" panose="02020603050405020304" pitchFamily="18" charset="0"/>
            </a:rPr>
            <a:t>Anleitung:</a:t>
          </a:r>
          <a:endParaRPr lang="de-CH" sz="1100" kern="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Es werden die Material – und Systemdaten aus der Optimierungsberechnung P11, Variante 1 in die Eingabezellen (gelbe Felder) für die &lt;OPTIMIERUNGSKONTROLLE&gt; übertragen. Ansonst muss lediglich noch ein frei wählbarer Reduktionsfaktor K (empfohlen K =  0.90 bis 0.99)</a:t>
          </a:r>
          <a:r>
            <a:rPr lang="de-CH" sz="1100" kern="100">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a:t>
          </a:r>
          <a:r>
            <a:rPr lang="de-CH" sz="1100" kern="100">
              <a:effectLst/>
              <a:latin typeface="Calibri" panose="020F0502020204030204" pitchFamily="34" charset="0"/>
              <a:ea typeface="Calibri" panose="020F0502020204030204" pitchFamily="34" charset="0"/>
              <a:cs typeface="Times New Roman" panose="02020603050405020304" pitchFamily="18" charset="0"/>
            </a:rPr>
            <a:t> festgelegt werden. Alle daraus folgenden Rechnungsgänge sind automatisiert und aus Gründen der Übersichtlichkeit als «Weissschrift» unsichtbar gemacht. Das eingetragene Zahlenbeispiel mit 8 Bauteilen ist schreibgeschützt und kann für eigene Berechnungen überschrieben werden.</a:t>
          </a:r>
          <a:r>
            <a:rPr lang="de-CH" sz="1100" i="1" kern="100">
              <a:effectLst/>
              <a:latin typeface="Calibri" panose="020F0502020204030204" pitchFamily="34" charset="0"/>
              <a:ea typeface="Calibri" panose="020F0502020204030204" pitchFamily="34" charset="0"/>
              <a:cs typeface="Times New Roman" panose="02020603050405020304" pitchFamily="18" charset="0"/>
            </a:rPr>
            <a:t> </a:t>
          </a:r>
          <a:r>
            <a:rPr lang="de-CH" sz="800" i="1" kern="100">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a:t>
          </a:r>
          <a:r>
            <a:rPr lang="de-CH" sz="800" i="1" kern="100">
              <a:effectLst/>
              <a:latin typeface="Calibri" panose="020F0502020204030204" pitchFamily="34" charset="0"/>
              <a:ea typeface="Calibri" panose="020F0502020204030204" pitchFamily="34" charset="0"/>
              <a:cs typeface="Times New Roman" panose="02020603050405020304" pitchFamily="18" charset="0"/>
            </a:rPr>
            <a:t>Wird ein zu tiefer Reduktionsfaktor (bezogen auf die Dämmstärke von Bauteil X) gewählt, kann dies zur Folge haben, dass das in Bauteil X entstandene Übermass an Wärmeverlust mit dem zugeordneten Bauteil Y gar nicht mehr kompensiert werden kann.</a:t>
          </a:r>
          <a:r>
            <a:rPr lang="de-CH" sz="1100" i="1" kern="100">
              <a:effectLst/>
              <a:latin typeface="Calibri" panose="020F0502020204030204" pitchFamily="34" charset="0"/>
              <a:ea typeface="Calibri" panose="020F0502020204030204" pitchFamily="34" charset="0"/>
              <a:cs typeface="Times New Roman" panose="02020603050405020304" pitchFamily="18" charset="0"/>
            </a:rPr>
            <a:t>   </a:t>
          </a:r>
          <a:endParaRPr lang="de-CH" sz="1100" kern="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HINWEIS: Auch «gesamt – optimale» Dämmstärken, wie sie aus einer «freien Bemessung» unter Einbezug des über die Gebrauchsdauer des Gebäudes» akkumulierten Leitwertbelastung aus Transmissionswärmebedarf gemäss «Rechenprogramm OEKO – PRIORITY®» hervorgehen, können in genau gleicher Weise wie oben beschrieben (also mit dem vorliegenden Excel – File) überprüft werden.</a:t>
          </a: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 27.06.2023 /Ba.</a:t>
          </a: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 </a:t>
          </a:r>
          <a:r>
            <a:rPr lang="de-CH" sz="1100" kern="100">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 Nachtrag 29.09.2023: Es kann vorkommen, dass bei vereinzelten "Paarungen Bauteil 1 vs. Bauteil 2" trotz erhöhter Dämmstärke von Bauteil 2 dessen resultierendes Mehr an Leitwertbelastung geringer ausfällt, als die realisierte Leitwerteinsparung bei Bauteil 1. Dies kann dann vorkommen, wenn Bauteil 2 eine gegenüber Bauteil 1 extrem niedrige Leitwertbelastung aufweist. Der Entscheid,  ob "Optimierung = OK",  ist daher so festgelegt, dass die Summe aller aus den Paarbildungen möglicherweise auftretenden Minderbelastungen für "Bauteile 2" maximal 20% der berechneten, minimierten Gesamtbelastung laut Zelle F58 ausmachen dürfen. Der Kontrollvorgang ist automatisiert.</a:t>
          </a:r>
        </a:p>
        <a:p>
          <a:pPr>
            <a:lnSpc>
              <a:spcPct val="107000"/>
            </a:lnSpc>
            <a:spcAft>
              <a:spcPts val="800"/>
            </a:spcAft>
          </a:pPr>
          <a:endParaRPr lang="de-CH" sz="1100" kern="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CH" sz="1100" kern="100">
              <a:effectLst/>
              <a:latin typeface="Calibri" panose="020F0502020204030204" pitchFamily="34" charset="0"/>
              <a:ea typeface="Calibri" panose="020F0502020204030204" pitchFamily="34" charset="0"/>
              <a:cs typeface="Times New Roman" panose="02020603050405020304" pitchFamily="18" charset="0"/>
            </a:rPr>
            <a:t> </a:t>
          </a:r>
        </a:p>
        <a:p>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198120</xdr:colOff>
      <xdr:row>1</xdr:row>
      <xdr:rowOff>129540</xdr:rowOff>
    </xdr:from>
    <xdr:ext cx="5311140" cy="4381500"/>
    <xdr:sp macro="" textlink="">
      <xdr:nvSpPr>
        <xdr:cNvPr id="5" name="Textfeld 4">
          <a:extLst>
            <a:ext uri="{FF2B5EF4-FFF2-40B4-BE49-F238E27FC236}">
              <a16:creationId xmlns:a16="http://schemas.microsoft.com/office/drawing/2014/main" id="{0384201F-D000-04CC-22FD-62B477639D0B}"/>
            </a:ext>
          </a:extLst>
        </xdr:cNvPr>
        <xdr:cNvSpPr txBox="1"/>
      </xdr:nvSpPr>
      <xdr:spPr>
        <a:xfrm>
          <a:off x="198120" y="312420"/>
          <a:ext cx="5311140" cy="438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b="1" kern="100">
              <a:effectLst/>
              <a:latin typeface="Calibri" panose="020F0502020204030204" pitchFamily="34" charset="0"/>
              <a:ea typeface="Times New Roman" panose="02020603050405020304" pitchFamily="18" charset="0"/>
              <a:cs typeface="Times New Roman" panose="02020603050405020304" pitchFamily="18" charset="0"/>
            </a:rPr>
            <a:t>PRO MEMORIA</a:t>
          </a:r>
          <a:endParaRPr lang="de-CH" sz="1050" kern="100">
            <a:effectLst/>
            <a:latin typeface="Calibri" panose="020F0502020204030204" pitchFamily="34" charset="0"/>
            <a:ea typeface="Times New Roman" panose="02020603050405020304" pitchFamily="18" charset="0"/>
            <a:cs typeface="Times New Roman" panose="02020603050405020304" pitchFamily="18" charset="0"/>
          </a:endParaRPr>
        </a:p>
        <a:p>
          <a:r>
            <a:rPr lang="de-CH" sz="1100" kern="100">
              <a:effectLst/>
              <a:latin typeface="Calibri" panose="020F0502020204030204" pitchFamily="34" charset="0"/>
              <a:ea typeface="Times New Roman" panose="02020603050405020304" pitchFamily="18" charset="0"/>
              <a:cs typeface="Times New Roman" panose="02020603050405020304" pitchFamily="18" charset="0"/>
            </a:rPr>
            <a:t> </a:t>
          </a:r>
          <a:endParaRPr lang="de-CH" sz="1050" kern="100">
            <a:effectLst/>
            <a:latin typeface="Calibri" panose="020F0502020204030204" pitchFamily="34" charset="0"/>
            <a:ea typeface="Times New Roman" panose="02020603050405020304" pitchFamily="18" charset="0"/>
            <a:cs typeface="Times New Roman" panose="02020603050405020304" pitchFamily="18" charset="0"/>
          </a:endParaRPr>
        </a:p>
        <a:p>
          <a:r>
            <a:rPr lang="de-CH" sz="1100" kern="100">
              <a:effectLst/>
              <a:latin typeface="Calibri" panose="020F0502020204030204" pitchFamily="34" charset="0"/>
              <a:ea typeface="Times New Roman" panose="02020603050405020304" pitchFamily="18" charset="0"/>
              <a:cs typeface="Times New Roman" panose="02020603050405020304" pitchFamily="18" charset="0"/>
            </a:rPr>
            <a:t>Diese Seite gehört an sich nicht zur „OPTIMIERUNGSKONTROLLE“. Doch es soll  hier nochmals zusammengefasst werden, was bei den Objekteingaben für die Optimierungsberechnunhen mit Programm P11 - Varianten 1 und 2, oder mit  Programm „OEKOPRIORITY®, freie Bemessung“, oder auch mit  Programm „Umschichtung“ zu beachten ist, falls eine der drei möglichen Leitwertbelastungen gemäss „Tabellen KBOB“ zur Vorgabe dienen.</a:t>
          </a:r>
          <a:endParaRPr lang="de-CH" sz="1050" kern="100">
            <a:effectLst/>
            <a:latin typeface="Calibri" panose="020F0502020204030204" pitchFamily="34" charset="0"/>
            <a:ea typeface="Times New Roman" panose="02020603050405020304" pitchFamily="18" charset="0"/>
            <a:cs typeface="Times New Roman" panose="02020603050405020304" pitchFamily="18" charset="0"/>
          </a:endParaRPr>
        </a:p>
        <a:p>
          <a:r>
            <a:rPr lang="de-CH" sz="1100" kern="100">
              <a:effectLst/>
              <a:latin typeface="Calibri" panose="020F0502020204030204" pitchFamily="34" charset="0"/>
              <a:ea typeface="Times New Roman" panose="02020603050405020304" pitchFamily="18" charset="0"/>
              <a:cs typeface="Times New Roman" panose="02020603050405020304" pitchFamily="18" charset="0"/>
            </a:rPr>
            <a:t> </a:t>
          </a:r>
          <a:endParaRPr lang="de-CH" sz="1050" kern="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kern="0">
              <a:effectLst/>
              <a:latin typeface="Calibri" panose="020F0502020204030204" pitchFamily="34" charset="0"/>
              <a:ea typeface="Calibri" panose="020F0502020204030204" pitchFamily="34" charset="0"/>
              <a:cs typeface="Times New Roman" panose="02020603050405020304" pitchFamily="18" charset="0"/>
            </a:rPr>
            <a:t>Werden die Leitwert – Daten laut KBOB (Leitwertzahl pro kg Dämmstoff, bzw. Leitwertzahl pro kWh Energieträger) für die Optimierung übernommen, sind die Eingaben in die OEKOPRIORITY  - Formulare 1 und 3 wie folgt anzupassen (Formular 2 erfordert keine Anpassungen):</a:t>
          </a:r>
          <a:endParaRPr lang="de-CH" sz="1050" kern="100">
            <a:effectLst/>
            <a:latin typeface="Calibri" panose="020F0502020204030204" pitchFamily="34" charset="0"/>
            <a:ea typeface="Times New Roman" panose="02020603050405020304" pitchFamily="18" charset="0"/>
            <a:cs typeface="Times New Roman" panose="02020603050405020304" pitchFamily="18" charset="0"/>
          </a:endParaRPr>
        </a:p>
        <a:p>
          <a:endParaRPr lang="de-CH" sz="1100"/>
        </a:p>
      </xdr:txBody>
    </xdr:sp>
    <xdr:clientData/>
  </xdr:oneCellAnchor>
  <xdr:twoCellAnchor editAs="oneCell">
    <xdr:from>
      <xdr:col>0</xdr:col>
      <xdr:colOff>60960</xdr:colOff>
      <xdr:row>14</xdr:row>
      <xdr:rowOff>160020</xdr:rowOff>
    </xdr:from>
    <xdr:to>
      <xdr:col>6</xdr:col>
      <xdr:colOff>693420</xdr:colOff>
      <xdr:row>23</xdr:row>
      <xdr:rowOff>15240</xdr:rowOff>
    </xdr:to>
    <xdr:pic>
      <xdr:nvPicPr>
        <xdr:cNvPr id="7" name="Grafik 6">
          <a:extLst>
            <a:ext uri="{FF2B5EF4-FFF2-40B4-BE49-F238E27FC236}">
              <a16:creationId xmlns:a16="http://schemas.microsoft.com/office/drawing/2014/main" id="{67B11CDC-F8B8-72FB-54D4-725D820F3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2720340"/>
          <a:ext cx="5387340" cy="1501140"/>
        </a:xfrm>
        <a:prstGeom prst="rect">
          <a:avLst/>
        </a:prstGeom>
      </xdr:spPr>
    </xdr:pic>
    <xdr:clientData/>
  </xdr:twoCellAnchor>
  <xdr:oneCellAnchor>
    <xdr:from>
      <xdr:col>0</xdr:col>
      <xdr:colOff>30480</xdr:colOff>
      <xdr:row>23</xdr:row>
      <xdr:rowOff>45720</xdr:rowOff>
    </xdr:from>
    <xdr:ext cx="5280660" cy="4823460"/>
    <xdr:sp macro="" textlink="">
      <xdr:nvSpPr>
        <xdr:cNvPr id="8" name="Textfeld 7">
          <a:extLst>
            <a:ext uri="{FF2B5EF4-FFF2-40B4-BE49-F238E27FC236}">
              <a16:creationId xmlns:a16="http://schemas.microsoft.com/office/drawing/2014/main" id="{7FB52899-33E3-9FC1-C129-B1E9511A2BF7}"/>
            </a:ext>
          </a:extLst>
        </xdr:cNvPr>
        <xdr:cNvSpPr txBox="1"/>
      </xdr:nvSpPr>
      <xdr:spPr>
        <a:xfrm>
          <a:off x="30480" y="4251960"/>
          <a:ext cx="5280660" cy="4823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b="1">
              <a:solidFill>
                <a:schemeClr val="tx1"/>
              </a:solidFill>
              <a:effectLst/>
              <a:latin typeface="+mn-lt"/>
              <a:ea typeface="+mn-ea"/>
              <a:cs typeface="+mn-cs"/>
            </a:rPr>
            <a:t>Des Weiteren gilt folgendes:</a:t>
          </a:r>
        </a:p>
        <a:p>
          <a:endParaRPr lang="de-CH" sz="1100">
            <a:solidFill>
              <a:schemeClr val="tx1"/>
            </a:solidFill>
            <a:effectLst/>
            <a:latin typeface="+mn-lt"/>
            <a:ea typeface="+mn-ea"/>
            <a:cs typeface="+mn-cs"/>
          </a:endParaRPr>
        </a:p>
        <a:p>
          <a:r>
            <a:rPr lang="de-CH" sz="1100">
              <a:solidFill>
                <a:schemeClr val="tx1"/>
              </a:solidFill>
              <a:effectLst/>
              <a:latin typeface="+mn-lt"/>
              <a:ea typeface="+mn-ea"/>
              <a:cs typeface="+mn-cs"/>
            </a:rPr>
            <a:t>Nach den </a:t>
          </a:r>
          <a:r>
            <a:rPr lang="de-CH" sz="1100" u="sng">
              <a:solidFill>
                <a:schemeClr val="tx1"/>
              </a:solidFill>
              <a:effectLst/>
              <a:latin typeface="+mn-lt"/>
              <a:ea typeface="+mn-ea"/>
              <a:cs typeface="+mn-cs"/>
              <a:hlinkClick xmlns:r="http://schemas.openxmlformats.org/officeDocument/2006/relationships" r:id=""/>
            </a:rPr>
            <a:t>Erwägungen zur Verzinsung der Leitgrösse Energie </a:t>
          </a:r>
          <a:r>
            <a:rPr lang="de-CH" sz="1100">
              <a:solidFill>
                <a:schemeClr val="tx1"/>
              </a:solidFill>
              <a:effectLst/>
              <a:latin typeface="+mn-lt"/>
              <a:ea typeface="+mn-ea"/>
              <a:cs typeface="+mn-cs"/>
            </a:rPr>
            <a:t> ist dann, wenn eine Gewichtung aus monetärer oder sozialer Verzinsung, und/oder aus monetärer Teuerung  resp. sozialer Wertmehrung erfolgen soll, eine Differenz von mindestens 2.5 Prozentpunkten zwischen «Investition» und «Betrieb» einzuhalten. Diese Bedingung kann mit dem Programm nur im Administrativmodus unterdrückt werden (z.B. zur Freigabe von 0% und 0%). </a:t>
          </a:r>
        </a:p>
        <a:p>
          <a:r>
            <a:rPr lang="de-CH" sz="1100">
              <a:solidFill>
                <a:schemeClr val="tx1"/>
              </a:solidFill>
              <a:effectLst/>
              <a:latin typeface="+mn-lt"/>
              <a:ea typeface="+mn-ea"/>
              <a:cs typeface="+mn-cs"/>
            </a:rPr>
            <a:t>Ferner</a:t>
          </a:r>
          <a:r>
            <a:rPr lang="de-CH" sz="1100" baseline="0">
              <a:solidFill>
                <a:schemeClr val="tx1"/>
              </a:solidFill>
              <a:effectLst/>
              <a:latin typeface="+mn-lt"/>
              <a:ea typeface="+mn-ea"/>
              <a:cs typeface="+mn-cs"/>
            </a:rPr>
            <a:t> </a:t>
          </a:r>
          <a:r>
            <a:rPr lang="de-CH" sz="1100">
              <a:solidFill>
                <a:schemeClr val="tx1"/>
              </a:solidFill>
              <a:effectLst/>
              <a:latin typeface="+mn-lt"/>
              <a:ea typeface="+mn-ea"/>
              <a:cs typeface="+mn-cs"/>
            </a:rPr>
            <a:t>gehen die Programme davon aus, dass (bei ökologischen Optimierungen) ein «Wertigkeitszuwachs» (w) des Leitwertes nicht zu berücksichtigen ist. Soll dies dennoch erfolgen (namentlich dann, wenn mit dem Programm eine Kostenminimierung erzielt werden soll), ist anstelle des jeweiligen «Zinssatzes» (sz) der folgende Betrag (sz´) in die Zinssatzzeile einzugeben:   sz’ = [((1+sz)/(1+w))-1]*100 [%].</a:t>
          </a:r>
        </a:p>
        <a:p>
          <a:r>
            <a:rPr lang="de-CH" sz="1100">
              <a:solidFill>
                <a:schemeClr val="tx1"/>
              </a:solidFill>
              <a:effectLst/>
              <a:latin typeface="+mn-lt"/>
              <a:ea typeface="+mn-ea"/>
              <a:cs typeface="+mn-cs"/>
            </a:rPr>
            <a:t> </a:t>
          </a:r>
        </a:p>
        <a:p>
          <a:r>
            <a:rPr lang="de-CH" sz="1100">
              <a:solidFill>
                <a:schemeClr val="tx1"/>
              </a:solidFill>
              <a:effectLst/>
              <a:latin typeface="+mn-lt"/>
              <a:ea typeface="+mn-ea"/>
              <a:cs typeface="+mn-cs"/>
            </a:rPr>
            <a:t>Und schliesslich ist zu beachten, dass die in Formular 3 aufgeführte Spalte (MJ/m</a:t>
          </a:r>
          <a:r>
            <a:rPr lang="de-CH" sz="1100" baseline="30000">
              <a:solidFill>
                <a:schemeClr val="tx1"/>
              </a:solidFill>
              <a:effectLst/>
              <a:latin typeface="+mn-lt"/>
              <a:ea typeface="+mn-ea"/>
              <a:cs typeface="+mn-cs"/>
            </a:rPr>
            <a:t>3</a:t>
          </a:r>
          <a:r>
            <a:rPr lang="de-CH" sz="1100">
              <a:solidFill>
                <a:schemeClr val="tx1"/>
              </a:solidFill>
              <a:effectLst/>
              <a:latin typeface="+mn-lt"/>
              <a:ea typeface="+mn-ea"/>
              <a:cs typeface="+mn-cs"/>
            </a:rPr>
            <a:t>) eine Begrenzung der Eingabewerte vorsieht, so dass als Folge  der oben tabellierten «Anpassungen je nach Minimierungsziel» vereinzelte Leitwerte/m3  u.U. ausserhalb der zulässigen Bandbreite liegen könnten. Falls nicht auf den Administrativ – Modus mit Fehlerunterdrückung zugegriffen werden kann, bedient man sich in diesen Fällen des folgenden Kunstgriffs: </a:t>
          </a:r>
        </a:p>
        <a:p>
          <a:r>
            <a:rPr lang="de-CH" sz="1100">
              <a:solidFill>
                <a:schemeClr val="tx1"/>
              </a:solidFill>
              <a:effectLst/>
              <a:latin typeface="+mn-lt"/>
              <a:ea typeface="+mn-ea"/>
              <a:cs typeface="+mn-cs"/>
            </a:rPr>
            <a:t>Die angepassten Eingabewerte für Spalte J (Leitwert/m3 statt MJ/m</a:t>
          </a:r>
          <a:r>
            <a:rPr lang="de-CH" sz="1100" baseline="30000">
              <a:solidFill>
                <a:schemeClr val="tx1"/>
              </a:solidFill>
              <a:effectLst/>
              <a:latin typeface="+mn-lt"/>
              <a:ea typeface="+mn-ea"/>
              <a:cs typeface="+mn-cs"/>
            </a:rPr>
            <a:t>3</a:t>
          </a:r>
          <a:r>
            <a:rPr lang="de-CH" sz="1100">
              <a:solidFill>
                <a:schemeClr val="tx1"/>
              </a:solidFill>
              <a:effectLst/>
              <a:latin typeface="+mn-lt"/>
              <a:ea typeface="+mn-ea"/>
              <a:cs typeface="+mn-cs"/>
            </a:rPr>
            <a:t>) in Formular 3, werden um einen beliebigen Multiplikator [κ] so erweitert (oder verkleinert), dass alle in den  vorgegebenen</a:t>
          </a:r>
          <a:r>
            <a:rPr lang="de-CH" sz="1100" baseline="0">
              <a:solidFill>
                <a:schemeClr val="tx1"/>
              </a:solidFill>
              <a:effectLst/>
              <a:latin typeface="+mn-lt"/>
              <a:ea typeface="+mn-ea"/>
              <a:cs typeface="+mn-cs"/>
            </a:rPr>
            <a:t> Zahlenbereich</a:t>
          </a:r>
          <a:r>
            <a:rPr lang="de-CH" sz="1100">
              <a:solidFill>
                <a:schemeClr val="tx1"/>
              </a:solidFill>
              <a:effectLst/>
              <a:latin typeface="+mn-lt"/>
              <a:ea typeface="+mn-ea"/>
              <a:cs typeface="+mn-cs"/>
            </a:rPr>
            <a:t> passen. </a:t>
          </a:r>
          <a:r>
            <a:rPr lang="de-CH" sz="1100" u="sng">
              <a:solidFill>
                <a:schemeClr val="tx1"/>
              </a:solidFill>
              <a:effectLst/>
              <a:latin typeface="+mn-lt"/>
              <a:ea typeface="+mn-ea"/>
              <a:cs typeface="+mn-cs"/>
            </a:rPr>
            <a:t>Dem entsprechend muss dann</a:t>
          </a:r>
          <a:r>
            <a:rPr lang="de-CH" sz="1100">
              <a:solidFill>
                <a:schemeClr val="tx1"/>
              </a:solidFill>
              <a:effectLst/>
              <a:latin typeface="+mn-lt"/>
              <a:ea typeface="+mn-ea"/>
              <a:cs typeface="+mn-cs"/>
            </a:rPr>
            <a:t> </a:t>
          </a:r>
          <a:r>
            <a:rPr lang="de-CH" sz="1100" u="sng">
              <a:solidFill>
                <a:schemeClr val="tx1"/>
              </a:solidFill>
              <a:effectLst/>
              <a:latin typeface="+mn-lt"/>
              <a:ea typeface="+mn-ea"/>
              <a:cs typeface="+mn-cs"/>
            </a:rPr>
            <a:t>auch die nach</a:t>
          </a:r>
          <a:r>
            <a:rPr lang="de-CH" sz="1100" u="sng" baseline="0">
              <a:solidFill>
                <a:schemeClr val="tx1"/>
              </a:solidFill>
              <a:effectLst/>
              <a:latin typeface="+mn-lt"/>
              <a:ea typeface="+mn-ea"/>
              <a:cs typeface="+mn-cs"/>
            </a:rPr>
            <a:t> obiger Tabelle berichtigte </a:t>
          </a:r>
          <a:r>
            <a:rPr lang="de-CH" sz="1100" u="sng">
              <a:solidFill>
                <a:schemeClr val="tx1"/>
              </a:solidFill>
              <a:effectLst/>
              <a:latin typeface="+mn-lt"/>
              <a:ea typeface="+mn-ea"/>
              <a:cs typeface="+mn-cs"/>
            </a:rPr>
            <a:t> Heizgradtagzahl noch um diesen Wert [κ] erweitert (oder vermindert) werden</a:t>
          </a:r>
          <a:r>
            <a:rPr lang="de-CH" sz="1100">
              <a:solidFill>
                <a:schemeClr val="tx1"/>
              </a:solidFill>
              <a:effectLst/>
              <a:latin typeface="+mn-lt"/>
              <a:ea typeface="+mn-ea"/>
              <a:cs typeface="+mn-cs"/>
            </a:rPr>
            <a:t>.                                  </a:t>
          </a:r>
        </a:p>
        <a:p>
          <a:r>
            <a:rPr lang="de-CH" sz="1100">
              <a:solidFill>
                <a:schemeClr val="tx1"/>
              </a:solidFill>
              <a:effectLst/>
              <a:latin typeface="+mn-lt"/>
              <a:ea typeface="+mn-ea"/>
              <a:cs typeface="+mn-cs"/>
            </a:rPr>
            <a:t>                                                                                                                                                 </a:t>
          </a:r>
          <a:r>
            <a:rPr lang="de-CH" sz="1100" i="1">
              <a:solidFill>
                <a:schemeClr val="tx1"/>
              </a:solidFill>
              <a:effectLst/>
              <a:latin typeface="+mn-lt"/>
              <a:ea typeface="+mn-ea"/>
              <a:cs typeface="+mn-cs"/>
            </a:rPr>
            <a:t>29.06.2023 /Ba.</a:t>
          </a:r>
          <a:endParaRPr lang="de-CH" sz="1100">
            <a:solidFill>
              <a:schemeClr val="tx1"/>
            </a:solidFill>
            <a:effectLst/>
            <a:latin typeface="+mn-lt"/>
            <a:ea typeface="+mn-ea"/>
            <a:cs typeface="+mn-cs"/>
          </a:endParaRPr>
        </a:p>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0C45-B82B-47F4-BD09-739DE1263980}">
  <dimension ref="A1:N248"/>
  <sheetViews>
    <sheetView topLeftCell="A106" workbookViewId="0">
      <selection activeCell="C194" sqref="C194"/>
    </sheetView>
  </sheetViews>
  <sheetFormatPr baseColWidth="10" defaultRowHeight="14.4" x14ac:dyDescent="0.3"/>
  <cols>
    <col min="2" max="2" width="28.6640625" customWidth="1"/>
    <col min="3" max="3" width="38.5546875" customWidth="1"/>
    <col min="4" max="4" width="28.33203125" customWidth="1"/>
    <col min="5" max="5" width="72" customWidth="1"/>
    <col min="6" max="6" width="22.33203125" customWidth="1"/>
    <col min="7" max="7" width="25" customWidth="1"/>
    <col min="8" max="8" width="17.33203125" customWidth="1"/>
  </cols>
  <sheetData>
    <row r="1" spans="1:6" ht="23.4" x14ac:dyDescent="0.45">
      <c r="A1" s="11" t="s">
        <v>0</v>
      </c>
      <c r="B1" s="9"/>
      <c r="C1" s="9"/>
      <c r="D1" s="9"/>
      <c r="E1" s="74"/>
      <c r="F1" s="75"/>
    </row>
    <row r="4" spans="1:6" x14ac:dyDescent="0.3">
      <c r="A4" s="10" t="s">
        <v>26</v>
      </c>
      <c r="B4" s="9"/>
      <c r="C4" s="9"/>
      <c r="D4" s="9"/>
      <c r="E4" s="2"/>
      <c r="F4" s="2"/>
    </row>
    <row r="5" spans="1:6" x14ac:dyDescent="0.3">
      <c r="E5" s="2"/>
      <c r="F5" s="2"/>
    </row>
    <row r="6" spans="1:6" x14ac:dyDescent="0.3">
      <c r="A6" s="8" t="s">
        <v>14</v>
      </c>
      <c r="B6" s="2"/>
      <c r="C6" s="2"/>
      <c r="D6" s="14"/>
      <c r="E6" s="2"/>
      <c r="F6" s="2"/>
    </row>
    <row r="7" spans="1:6" x14ac:dyDescent="0.3">
      <c r="A7" s="7" t="s">
        <v>1</v>
      </c>
      <c r="B7" s="7"/>
      <c r="C7" s="72" t="s">
        <v>3</v>
      </c>
      <c r="D7" s="73"/>
      <c r="E7" s="23"/>
      <c r="F7" s="23"/>
    </row>
    <row r="8" spans="1:6" x14ac:dyDescent="0.3">
      <c r="A8" s="7"/>
      <c r="B8" s="7"/>
      <c r="C8" s="7"/>
      <c r="D8" s="15"/>
      <c r="E8" s="2"/>
      <c r="F8" s="2"/>
    </row>
    <row r="9" spans="1:6" x14ac:dyDescent="0.3">
      <c r="A9" s="7" t="s">
        <v>4</v>
      </c>
      <c r="B9" s="7"/>
      <c r="C9" s="7"/>
      <c r="D9" s="16">
        <v>75</v>
      </c>
      <c r="E9" s="2"/>
      <c r="F9" s="2"/>
    </row>
    <row r="10" spans="1:6" x14ac:dyDescent="0.3">
      <c r="A10" s="7"/>
      <c r="B10" s="7"/>
      <c r="C10" s="7"/>
      <c r="D10" s="15"/>
      <c r="E10" s="2"/>
      <c r="F10" s="2"/>
    </row>
    <row r="11" spans="1:6" x14ac:dyDescent="0.3">
      <c r="A11" s="7" t="s">
        <v>5</v>
      </c>
      <c r="B11" s="7"/>
      <c r="C11" s="7"/>
      <c r="D11" s="16">
        <v>2.5</v>
      </c>
      <c r="E11" s="2"/>
      <c r="F11" s="2"/>
    </row>
    <row r="12" spans="1:6" x14ac:dyDescent="0.3">
      <c r="A12" s="7"/>
      <c r="B12" s="7"/>
      <c r="C12" s="7"/>
      <c r="D12" s="15"/>
      <c r="E12" s="2"/>
      <c r="F12" s="2"/>
    </row>
    <row r="13" spans="1:6" x14ac:dyDescent="0.3">
      <c r="A13" s="7" t="s">
        <v>7</v>
      </c>
      <c r="B13" s="7"/>
      <c r="C13" s="7"/>
      <c r="D13" s="16">
        <v>0</v>
      </c>
      <c r="E13" s="76" t="s">
        <v>33</v>
      </c>
      <c r="F13" s="77"/>
    </row>
    <row r="14" spans="1:6" x14ac:dyDescent="0.3">
      <c r="A14" s="7"/>
      <c r="B14" s="7"/>
      <c r="C14" s="7"/>
      <c r="D14" s="15"/>
      <c r="E14" s="2"/>
      <c r="F14" s="2"/>
    </row>
    <row r="15" spans="1:6" x14ac:dyDescent="0.3">
      <c r="A15" s="7" t="s">
        <v>6</v>
      </c>
      <c r="B15" s="7"/>
      <c r="C15" s="7"/>
      <c r="D15" s="16">
        <v>0.14699999999999999</v>
      </c>
      <c r="E15" s="78" t="str">
        <f>IF(AND(D237&gt;0,G243&lt;0.2),"OPTIMIERUNG OK!","OPTIMIERUNG ODER ÜBERTRAG UNSICHER, ERHÖHE R-FAKTOR K AUF MAX. 0,95!")</f>
        <v>OPTIMIERUNG OK!</v>
      </c>
      <c r="F15" s="79"/>
    </row>
    <row r="16" spans="1:6" x14ac:dyDescent="0.3">
      <c r="A16" s="7"/>
      <c r="B16" s="7"/>
      <c r="C16" s="7"/>
      <c r="D16" s="15"/>
      <c r="E16" s="2"/>
      <c r="F16" s="2"/>
    </row>
    <row r="17" spans="1:6" x14ac:dyDescent="0.3">
      <c r="A17" s="7" t="s">
        <v>2</v>
      </c>
      <c r="B17" s="7"/>
      <c r="C17" s="7"/>
      <c r="D17" s="16" t="s">
        <v>8</v>
      </c>
      <c r="E17" s="37"/>
      <c r="F17" s="38"/>
    </row>
    <row r="18" spans="1:6" x14ac:dyDescent="0.3">
      <c r="A18" s="2"/>
      <c r="B18" s="2"/>
      <c r="C18" s="2"/>
      <c r="D18" s="14"/>
      <c r="E18" s="2"/>
      <c r="F18" s="2"/>
    </row>
    <row r="19" spans="1:6" x14ac:dyDescent="0.3">
      <c r="A19" s="19" t="s">
        <v>30</v>
      </c>
      <c r="B19" s="2"/>
      <c r="C19" s="2"/>
      <c r="D19" s="22">
        <v>0.95</v>
      </c>
      <c r="E19" s="27" t="s">
        <v>34</v>
      </c>
      <c r="F19" s="20" t="s">
        <v>34</v>
      </c>
    </row>
    <row r="20" spans="1:6" x14ac:dyDescent="0.3">
      <c r="A20" s="2"/>
      <c r="B20" s="2"/>
      <c r="C20" s="2"/>
      <c r="D20" s="2"/>
      <c r="E20" s="70" t="s">
        <v>32</v>
      </c>
      <c r="F20" s="71"/>
    </row>
    <row r="21" spans="1:6" x14ac:dyDescent="0.3">
      <c r="A21" s="20" t="s">
        <v>31</v>
      </c>
      <c r="B21" s="20"/>
      <c r="C21" s="20"/>
      <c r="D21" s="21">
        <v>23687</v>
      </c>
      <c r="E21" s="24">
        <f>IF(D21="","",E18)</f>
        <v>0</v>
      </c>
      <c r="F21" s="25">
        <f>IF(D21="","",F18)</f>
        <v>0</v>
      </c>
    </row>
    <row r="22" spans="1:6" x14ac:dyDescent="0.3">
      <c r="A22" s="2"/>
      <c r="B22" s="2"/>
      <c r="C22" s="2"/>
      <c r="D22" s="20" t="str">
        <f>IF(D21="","","Schadstoffsumme:")</f>
        <v>Schadstoffsumme:</v>
      </c>
      <c r="E22" s="26" t="str">
        <f>IF(D21="","","Anteil Dämmstoffe")</f>
        <v>Anteil Dämmstoffe</v>
      </c>
      <c r="F22" s="26" t="str">
        <f>IF(D21="","","gesamt")</f>
        <v>gesamt</v>
      </c>
    </row>
    <row r="23" spans="1:6" x14ac:dyDescent="0.3">
      <c r="A23" s="8" t="s">
        <v>15</v>
      </c>
      <c r="B23" s="2"/>
      <c r="C23" s="2"/>
      <c r="D23" s="14"/>
    </row>
    <row r="24" spans="1:6" x14ac:dyDescent="0.3">
      <c r="A24" s="12" t="s">
        <v>28</v>
      </c>
      <c r="B24" s="12" t="s">
        <v>9</v>
      </c>
      <c r="C24" s="12" t="s">
        <v>10</v>
      </c>
      <c r="D24" s="12" t="s">
        <v>11</v>
      </c>
      <c r="E24" s="17" t="s">
        <v>12</v>
      </c>
      <c r="F24" s="17" t="s">
        <v>13</v>
      </c>
    </row>
    <row r="25" spans="1:6" x14ac:dyDescent="0.3">
      <c r="A25" s="4">
        <v>1</v>
      </c>
      <c r="B25" s="5" t="s">
        <v>35</v>
      </c>
      <c r="C25" s="5">
        <v>1440</v>
      </c>
      <c r="D25" s="5">
        <v>1.08</v>
      </c>
      <c r="E25" s="5">
        <v>0.4</v>
      </c>
      <c r="F25" s="5">
        <v>1</v>
      </c>
    </row>
    <row r="26" spans="1:6" x14ac:dyDescent="0.3">
      <c r="A26" s="4">
        <v>2</v>
      </c>
      <c r="B26" s="5" t="s">
        <v>36</v>
      </c>
      <c r="C26" s="5">
        <v>1790</v>
      </c>
      <c r="D26" s="5">
        <v>1.17</v>
      </c>
      <c r="E26" s="5">
        <v>0.4</v>
      </c>
      <c r="F26" s="5">
        <v>1</v>
      </c>
    </row>
    <row r="27" spans="1:6" x14ac:dyDescent="0.3">
      <c r="A27" s="4">
        <v>3</v>
      </c>
      <c r="B27" s="5" t="s">
        <v>51</v>
      </c>
      <c r="C27" s="5">
        <v>640</v>
      </c>
      <c r="D27" s="5">
        <v>3.25</v>
      </c>
      <c r="E27" s="5">
        <v>0.4</v>
      </c>
      <c r="F27" s="5">
        <v>1</v>
      </c>
    </row>
    <row r="28" spans="1:6" x14ac:dyDescent="0.3">
      <c r="A28" s="4">
        <v>4</v>
      </c>
      <c r="B28" s="5" t="s">
        <v>52</v>
      </c>
      <c r="C28" s="5">
        <v>255</v>
      </c>
      <c r="D28" s="5">
        <v>3.07</v>
      </c>
      <c r="E28" s="5">
        <v>0.6</v>
      </c>
      <c r="F28" s="5">
        <v>0.75</v>
      </c>
    </row>
    <row r="29" spans="1:6" x14ac:dyDescent="0.3">
      <c r="A29" s="4">
        <v>5</v>
      </c>
      <c r="B29" s="5" t="s">
        <v>53</v>
      </c>
      <c r="C29" s="5">
        <v>155</v>
      </c>
      <c r="D29" s="5">
        <v>2.1</v>
      </c>
      <c r="E29" s="5">
        <v>0.6</v>
      </c>
      <c r="F29" s="5">
        <v>0.75</v>
      </c>
    </row>
    <row r="30" spans="1:6" x14ac:dyDescent="0.3">
      <c r="A30" s="4">
        <v>6</v>
      </c>
      <c r="B30" s="5" t="s">
        <v>54</v>
      </c>
      <c r="C30" s="5">
        <v>770</v>
      </c>
      <c r="D30" s="5">
        <v>2</v>
      </c>
      <c r="E30" s="5">
        <v>0.6</v>
      </c>
      <c r="F30" s="5">
        <v>0.75</v>
      </c>
    </row>
    <row r="31" spans="1:6" x14ac:dyDescent="0.3">
      <c r="A31" s="4">
        <v>7</v>
      </c>
      <c r="B31" s="5" t="s">
        <v>55</v>
      </c>
      <c r="C31" s="5">
        <v>1000</v>
      </c>
      <c r="D31" s="5">
        <v>3</v>
      </c>
      <c r="E31" s="5">
        <v>0.6</v>
      </c>
      <c r="F31" s="5">
        <v>0.5</v>
      </c>
    </row>
    <row r="32" spans="1:6" x14ac:dyDescent="0.3">
      <c r="A32" s="4">
        <v>8</v>
      </c>
      <c r="B32" s="5" t="s">
        <v>56</v>
      </c>
      <c r="C32" s="5">
        <v>770</v>
      </c>
      <c r="D32" s="5">
        <v>3</v>
      </c>
      <c r="E32" s="5">
        <v>0.6</v>
      </c>
      <c r="F32" s="5">
        <v>1</v>
      </c>
    </row>
    <row r="34" spans="1:14" x14ac:dyDescent="0.3">
      <c r="A34" s="3" t="s">
        <v>16</v>
      </c>
    </row>
    <row r="35" spans="1:14" x14ac:dyDescent="0.3">
      <c r="A35" s="12" t="s">
        <v>28</v>
      </c>
      <c r="B35" s="12" t="s">
        <v>9</v>
      </c>
      <c r="C35" s="12" t="s">
        <v>17</v>
      </c>
      <c r="D35" s="12" t="s">
        <v>18</v>
      </c>
      <c r="E35" s="12" t="s">
        <v>19</v>
      </c>
      <c r="F35" s="12" t="s">
        <v>20</v>
      </c>
      <c r="G35" s="12" t="s">
        <v>42</v>
      </c>
      <c r="H35" s="12" t="s">
        <v>43</v>
      </c>
      <c r="I35" s="29"/>
    </row>
    <row r="36" spans="1:14" x14ac:dyDescent="0.3">
      <c r="A36" s="4">
        <v>1</v>
      </c>
      <c r="B36" s="6" t="str">
        <f t="shared" ref="B36:B42" si="0">B25</f>
        <v>Aussenwände</v>
      </c>
      <c r="C36" s="5" t="s">
        <v>37</v>
      </c>
      <c r="D36" s="5">
        <v>40</v>
      </c>
      <c r="E36" s="5">
        <v>78400</v>
      </c>
      <c r="F36" s="5">
        <v>3.5999999999999997E-2</v>
      </c>
      <c r="G36" s="5">
        <v>50</v>
      </c>
      <c r="H36" s="5">
        <v>0</v>
      </c>
    </row>
    <row r="37" spans="1:14" x14ac:dyDescent="0.3">
      <c r="A37" s="4">
        <v>2</v>
      </c>
      <c r="B37" s="6" t="str">
        <f t="shared" si="0"/>
        <v>Steildach</v>
      </c>
      <c r="C37" s="5" t="s">
        <v>37</v>
      </c>
      <c r="D37" s="5">
        <v>80</v>
      </c>
      <c r="E37" s="5">
        <v>156800</v>
      </c>
      <c r="F37" s="5">
        <v>3.7999999999999999E-2</v>
      </c>
      <c r="G37" s="5">
        <v>50</v>
      </c>
      <c r="H37" s="5">
        <v>0</v>
      </c>
    </row>
    <row r="38" spans="1:14" x14ac:dyDescent="0.3">
      <c r="A38" s="4">
        <v>3</v>
      </c>
      <c r="B38" s="6" t="str">
        <f t="shared" si="0"/>
        <v>Flachdach</v>
      </c>
      <c r="C38" s="5" t="s">
        <v>57</v>
      </c>
      <c r="D38" s="5">
        <v>100</v>
      </c>
      <c r="E38" s="5">
        <v>176000</v>
      </c>
      <c r="F38" s="5">
        <v>4.1000000000000002E-2</v>
      </c>
      <c r="G38" s="5">
        <v>50</v>
      </c>
      <c r="H38" s="5">
        <v>0</v>
      </c>
    </row>
    <row r="39" spans="1:14" x14ac:dyDescent="0.3">
      <c r="A39" s="4">
        <v>4</v>
      </c>
      <c r="B39" s="6" t="str">
        <f t="shared" si="0"/>
        <v>Wände g. Erdreich</v>
      </c>
      <c r="C39" s="5" t="s">
        <v>58</v>
      </c>
      <c r="D39" s="5">
        <v>35</v>
      </c>
      <c r="E39" s="5">
        <v>689500</v>
      </c>
      <c r="F39" s="5">
        <v>3.4000000000000002E-2</v>
      </c>
      <c r="G39" s="5">
        <v>50</v>
      </c>
      <c r="H39" s="5">
        <v>0</v>
      </c>
    </row>
    <row r="40" spans="1:14" x14ac:dyDescent="0.3">
      <c r="A40" s="4">
        <v>5</v>
      </c>
      <c r="B40" s="6" t="str">
        <f t="shared" si="0"/>
        <v>Wände g. Keller</v>
      </c>
      <c r="C40" s="5" t="s">
        <v>59</v>
      </c>
      <c r="D40" s="5">
        <v>25</v>
      </c>
      <c r="E40" s="5">
        <v>245000</v>
      </c>
      <c r="F40" s="5">
        <v>0.03</v>
      </c>
      <c r="G40" s="5">
        <v>50</v>
      </c>
      <c r="H40" s="5">
        <v>0</v>
      </c>
    </row>
    <row r="41" spans="1:14" x14ac:dyDescent="0.3">
      <c r="A41" s="4">
        <v>6</v>
      </c>
      <c r="B41" s="6" t="str">
        <f t="shared" si="0"/>
        <v>Decke g. Keller</v>
      </c>
      <c r="C41" s="5" t="s">
        <v>59</v>
      </c>
      <c r="D41" s="5">
        <v>25</v>
      </c>
      <c r="E41" s="5">
        <v>245000</v>
      </c>
      <c r="F41" s="5">
        <v>0.03</v>
      </c>
      <c r="G41" s="5">
        <v>50</v>
      </c>
      <c r="H41" s="5">
        <v>0</v>
      </c>
    </row>
    <row r="42" spans="1:14" x14ac:dyDescent="0.3">
      <c r="A42" s="4">
        <v>7</v>
      </c>
      <c r="B42" s="6" t="str">
        <f t="shared" si="0"/>
        <v>Boden g. Erde o. BH</v>
      </c>
      <c r="C42" s="5" t="s">
        <v>58</v>
      </c>
      <c r="D42" s="5">
        <v>40</v>
      </c>
      <c r="E42" s="5">
        <v>788000</v>
      </c>
      <c r="F42" s="5">
        <v>3.7999999999999999E-2</v>
      </c>
      <c r="G42" s="5">
        <v>75</v>
      </c>
      <c r="H42" s="5">
        <v>0</v>
      </c>
    </row>
    <row r="43" spans="1:14" x14ac:dyDescent="0.3">
      <c r="A43" s="4">
        <v>8</v>
      </c>
      <c r="B43" s="6" t="str">
        <f>$B$32</f>
        <v>Boden g. Erde m. BH</v>
      </c>
      <c r="C43" s="5" t="s">
        <v>58</v>
      </c>
      <c r="D43" s="5">
        <v>40</v>
      </c>
      <c r="E43" s="5">
        <v>788000</v>
      </c>
      <c r="F43" s="5">
        <v>3.7999999999999999E-2</v>
      </c>
      <c r="G43" s="5">
        <v>75</v>
      </c>
      <c r="H43" s="5">
        <v>0</v>
      </c>
      <c r="I43" s="1"/>
    </row>
    <row r="44" spans="1:14" x14ac:dyDescent="0.3">
      <c r="A44" s="1"/>
      <c r="B44" s="1"/>
      <c r="C44" s="1"/>
      <c r="D44" s="1"/>
      <c r="E44" s="1"/>
      <c r="F44" s="1"/>
      <c r="G44" s="1"/>
      <c r="H44" s="1"/>
      <c r="I44" s="1"/>
    </row>
    <row r="45" spans="1:14" x14ac:dyDescent="0.3">
      <c r="A45" s="3" t="s">
        <v>21</v>
      </c>
      <c r="B45" s="13"/>
      <c r="C45" s="13"/>
      <c r="D45" s="13"/>
      <c r="E45" s="13"/>
      <c r="F45" s="13"/>
      <c r="I45" s="1"/>
    </row>
    <row r="46" spans="1:14" x14ac:dyDescent="0.3">
      <c r="A46" s="12" t="s">
        <v>28</v>
      </c>
      <c r="B46" s="12" t="s">
        <v>25</v>
      </c>
      <c r="C46" s="12" t="s">
        <v>22</v>
      </c>
      <c r="D46" s="12" t="s">
        <v>23</v>
      </c>
      <c r="E46" s="12" t="s">
        <v>24</v>
      </c>
      <c r="F46" s="12" t="s">
        <v>38</v>
      </c>
      <c r="G46" s="28" t="s">
        <v>39</v>
      </c>
      <c r="H46" s="28" t="s">
        <v>40</v>
      </c>
      <c r="I46" s="1" t="s">
        <v>41</v>
      </c>
      <c r="J46" s="30" t="s">
        <v>44</v>
      </c>
      <c r="K46" s="30" t="s">
        <v>45</v>
      </c>
      <c r="L46" s="30" t="s">
        <v>46</v>
      </c>
      <c r="M46" s="30" t="s">
        <v>47</v>
      </c>
      <c r="N46" s="1"/>
    </row>
    <row r="47" spans="1:14" x14ac:dyDescent="0.3">
      <c r="A47" s="4">
        <v>1</v>
      </c>
      <c r="B47" s="5">
        <v>378</v>
      </c>
      <c r="C47" s="5">
        <v>8.7999999999999995E-2</v>
      </c>
      <c r="D47" s="5">
        <v>126</v>
      </c>
      <c r="E47" s="5">
        <v>1185408</v>
      </c>
      <c r="F47" s="6">
        <f>(IF(G47="","",ROUND((E47*G47),0)))</f>
        <v>1409448</v>
      </c>
      <c r="G47" s="1">
        <f>IF(B25="","",(J47*K47)*(L47*M47)^-1)</f>
        <v>1.18899830219345</v>
      </c>
      <c r="H47" s="1">
        <f>LN(1+$D$11/100)</f>
        <v>2.4692612590371414E-2</v>
      </c>
      <c r="I47" s="1">
        <f>LN(1+$D$13/100)</f>
        <v>0</v>
      </c>
      <c r="J47" s="1">
        <f>(1+H36*2.71828183^-((H47-I47)*G36))</f>
        <v>1</v>
      </c>
      <c r="K47" s="1">
        <f>(2.71828183^((H47-I47)*$D$9)-1)</f>
        <v>5.3722074328757863</v>
      </c>
      <c r="L47" s="1">
        <f>(2.71828183^((H47-I47)*($D$9-G36)))</f>
        <v>1.8539440989709344</v>
      </c>
      <c r="M47" s="1">
        <f>(2.71828183^((H47-I47)*G36)-1)</f>
        <v>2.4371087221091492</v>
      </c>
      <c r="N47" s="1"/>
    </row>
    <row r="48" spans="1:14" x14ac:dyDescent="0.3">
      <c r="A48" s="4">
        <v>2</v>
      </c>
      <c r="B48" s="5">
        <v>266</v>
      </c>
      <c r="C48" s="5">
        <v>0.127</v>
      </c>
      <c r="D48" s="5">
        <v>228</v>
      </c>
      <c r="E48" s="5">
        <v>2073854</v>
      </c>
      <c r="F48" s="6">
        <f t="shared" ref="F48:F54" si="1">(IF(G48="","",ROUND((E48*G48),0)))</f>
        <v>2465809</v>
      </c>
      <c r="G48" s="1">
        <f t="shared" ref="G48:G54" si="2">IF(B26="","",(J48*K48)*(L48*M48)^-1)</f>
        <v>1.18899830219345</v>
      </c>
      <c r="H48" s="1">
        <f t="shared" ref="H48:H54" si="3">LN(1+$D$11/100)</f>
        <v>2.4692612590371414E-2</v>
      </c>
      <c r="I48" s="1">
        <f t="shared" ref="I48:I54" si="4">LN(1+$D$13/100)</f>
        <v>0</v>
      </c>
      <c r="J48" s="1">
        <f t="shared" ref="J48:J54" si="5">(1+H37*2.71828183^-((H48-I48)*G37))</f>
        <v>1</v>
      </c>
      <c r="K48" s="1">
        <f t="shared" ref="K48:K54" si="6">(2.71828183^((H48-I48)*$D$9)-1)</f>
        <v>5.3722074328757863</v>
      </c>
      <c r="L48" s="1">
        <f t="shared" ref="L48:L54" si="7">(2.71828183^((H48-I48)*($D$9-G37)))</f>
        <v>1.8539440989709344</v>
      </c>
      <c r="M48" s="1">
        <f t="shared" ref="M48:M54" si="8">(2.71828183^((H48-I48)*G37)-1)</f>
        <v>2.4371087221091492</v>
      </c>
      <c r="N48" s="1"/>
    </row>
    <row r="49" spans="1:14" x14ac:dyDescent="0.3">
      <c r="A49" s="4">
        <v>3</v>
      </c>
      <c r="B49" s="5">
        <v>270</v>
      </c>
      <c r="C49" s="5">
        <v>0.14499999999999999</v>
      </c>
      <c r="D49" s="5">
        <v>93</v>
      </c>
      <c r="E49" s="5">
        <v>844800</v>
      </c>
      <c r="F49" s="6">
        <f t="shared" si="1"/>
        <v>1004466</v>
      </c>
      <c r="G49" s="1">
        <f t="shared" si="2"/>
        <v>1.18899830219345</v>
      </c>
      <c r="H49" s="1">
        <f t="shared" si="3"/>
        <v>2.4692612590371414E-2</v>
      </c>
      <c r="I49" s="1">
        <f t="shared" si="4"/>
        <v>0</v>
      </c>
      <c r="J49" s="1">
        <f t="shared" si="5"/>
        <v>1</v>
      </c>
      <c r="K49" s="1">
        <f t="shared" si="6"/>
        <v>5.3722074328757863</v>
      </c>
      <c r="L49" s="1">
        <f t="shared" si="7"/>
        <v>1.8539440989709344</v>
      </c>
      <c r="M49" s="1">
        <f t="shared" si="8"/>
        <v>2.4371087221091492</v>
      </c>
      <c r="N49" s="1"/>
    </row>
    <row r="50" spans="1:14" x14ac:dyDescent="0.3">
      <c r="A50" s="4">
        <v>4</v>
      </c>
      <c r="B50" s="5">
        <v>101</v>
      </c>
      <c r="C50" s="5">
        <v>0.30299999999999999</v>
      </c>
      <c r="D50" s="5">
        <v>58</v>
      </c>
      <c r="E50" s="5">
        <v>493280</v>
      </c>
      <c r="F50" s="6">
        <f t="shared" si="1"/>
        <v>586509</v>
      </c>
      <c r="G50" s="1">
        <f t="shared" si="2"/>
        <v>1.18899830219345</v>
      </c>
      <c r="H50" s="1">
        <f t="shared" si="3"/>
        <v>2.4692612590371414E-2</v>
      </c>
      <c r="I50" s="1">
        <f t="shared" si="4"/>
        <v>0</v>
      </c>
      <c r="J50" s="1">
        <f t="shared" si="5"/>
        <v>1</v>
      </c>
      <c r="K50" s="1">
        <f t="shared" si="6"/>
        <v>5.3722074328757863</v>
      </c>
      <c r="L50" s="1">
        <f t="shared" si="7"/>
        <v>1.8539440989709344</v>
      </c>
      <c r="M50" s="1">
        <f t="shared" si="8"/>
        <v>2.4371087221091492</v>
      </c>
      <c r="N50" s="1"/>
    </row>
    <row r="51" spans="1:14" x14ac:dyDescent="0.3">
      <c r="A51" s="4">
        <v>5</v>
      </c>
      <c r="B51" s="5">
        <v>175</v>
      </c>
      <c r="C51" s="5">
        <v>0.158</v>
      </c>
      <c r="D51" s="5">
        <v>18</v>
      </c>
      <c r="E51" s="5">
        <v>184601</v>
      </c>
      <c r="F51" s="6">
        <f t="shared" si="1"/>
        <v>219490</v>
      </c>
      <c r="G51" s="1">
        <f t="shared" si="2"/>
        <v>1.18899830219345</v>
      </c>
      <c r="H51" s="1">
        <f t="shared" si="3"/>
        <v>2.4692612590371414E-2</v>
      </c>
      <c r="I51" s="1">
        <f t="shared" si="4"/>
        <v>0</v>
      </c>
      <c r="J51" s="1">
        <f t="shared" si="5"/>
        <v>1</v>
      </c>
      <c r="K51" s="1">
        <f t="shared" si="6"/>
        <v>5.3722074328757863</v>
      </c>
      <c r="L51" s="1">
        <f t="shared" si="7"/>
        <v>1.8539440989709344</v>
      </c>
      <c r="M51" s="1">
        <f t="shared" si="8"/>
        <v>2.4371087221091492</v>
      </c>
      <c r="N51" s="1"/>
    </row>
    <row r="52" spans="1:14" x14ac:dyDescent="0.3">
      <c r="A52" s="4">
        <v>6</v>
      </c>
      <c r="B52" s="5">
        <v>174</v>
      </c>
      <c r="C52" s="5">
        <v>0.159</v>
      </c>
      <c r="D52" s="5">
        <v>92</v>
      </c>
      <c r="E52" s="5">
        <v>911808</v>
      </c>
      <c r="F52" s="6">
        <f t="shared" si="1"/>
        <v>1084138</v>
      </c>
      <c r="G52" s="1">
        <f t="shared" si="2"/>
        <v>1.18899830219345</v>
      </c>
      <c r="H52" s="1">
        <f t="shared" si="3"/>
        <v>2.4692612590371414E-2</v>
      </c>
      <c r="I52" s="1">
        <f t="shared" si="4"/>
        <v>0</v>
      </c>
      <c r="J52" s="1">
        <f t="shared" si="5"/>
        <v>1</v>
      </c>
      <c r="K52" s="1">
        <f t="shared" si="6"/>
        <v>5.3722074328757863</v>
      </c>
      <c r="L52" s="1">
        <f t="shared" si="7"/>
        <v>1.8539440989709344</v>
      </c>
      <c r="M52" s="1">
        <f t="shared" si="8"/>
        <v>2.4371087221091492</v>
      </c>
      <c r="N52" s="1"/>
    </row>
    <row r="53" spans="1:14" x14ac:dyDescent="0.3">
      <c r="A53" s="4">
        <v>7</v>
      </c>
      <c r="B53" s="5">
        <v>90</v>
      </c>
      <c r="C53" s="5">
        <v>0.37</v>
      </c>
      <c r="D53" s="5">
        <v>185</v>
      </c>
      <c r="E53" s="5">
        <v>1970000</v>
      </c>
      <c r="F53" s="6">
        <f t="shared" si="1"/>
        <v>1970000</v>
      </c>
      <c r="G53" s="1">
        <f t="shared" si="2"/>
        <v>1</v>
      </c>
      <c r="H53" s="1">
        <f t="shared" si="3"/>
        <v>2.4692612590371414E-2</v>
      </c>
      <c r="I53" s="1">
        <f t="shared" si="4"/>
        <v>0</v>
      </c>
      <c r="J53" s="1">
        <f t="shared" si="5"/>
        <v>1</v>
      </c>
      <c r="K53" s="1">
        <f t="shared" si="6"/>
        <v>5.3722074328757863</v>
      </c>
      <c r="L53" s="1">
        <f t="shared" si="7"/>
        <v>1</v>
      </c>
      <c r="M53" s="1">
        <f t="shared" si="8"/>
        <v>5.3722074328757863</v>
      </c>
      <c r="N53" s="1"/>
    </row>
    <row r="54" spans="1:14" x14ac:dyDescent="0.3">
      <c r="A54" s="4">
        <v>8</v>
      </c>
      <c r="B54" s="5">
        <v>132</v>
      </c>
      <c r="C54" s="5">
        <v>0.26300000000000001</v>
      </c>
      <c r="D54" s="5">
        <v>202</v>
      </c>
      <c r="E54" s="5">
        <v>2224787</v>
      </c>
      <c r="F54" s="6">
        <f t="shared" si="1"/>
        <v>2224787</v>
      </c>
      <c r="G54" s="1">
        <f t="shared" si="2"/>
        <v>1</v>
      </c>
      <c r="H54" s="1">
        <f t="shared" si="3"/>
        <v>2.4692612590371414E-2</v>
      </c>
      <c r="I54" s="1">
        <f t="shared" si="4"/>
        <v>0</v>
      </c>
      <c r="J54" s="1">
        <f t="shared" si="5"/>
        <v>1</v>
      </c>
      <c r="K54" s="1">
        <f t="shared" si="6"/>
        <v>5.3722074328757863</v>
      </c>
      <c r="L54" s="1">
        <f t="shared" si="7"/>
        <v>1</v>
      </c>
      <c r="M54" s="1">
        <f t="shared" si="8"/>
        <v>5.3722074328757863</v>
      </c>
      <c r="N54" s="1"/>
    </row>
    <row r="55" spans="1:14" x14ac:dyDescent="0.3">
      <c r="C55" s="2"/>
      <c r="D55" s="2"/>
      <c r="E55" s="2"/>
      <c r="F55" s="2"/>
      <c r="G55" s="1"/>
      <c r="H55" s="1"/>
      <c r="J55" s="1"/>
      <c r="K55" s="1"/>
      <c r="L55" s="1"/>
      <c r="M55" s="1"/>
      <c r="N55" s="1"/>
    </row>
    <row r="56" spans="1:14" x14ac:dyDescent="0.3">
      <c r="C56" s="7" t="s">
        <v>29</v>
      </c>
      <c r="D56" s="6">
        <f>SUM(D47:D54)</f>
        <v>1002</v>
      </c>
      <c r="E56" s="7"/>
      <c r="F56" s="2"/>
      <c r="J56" s="1"/>
      <c r="K56" s="1"/>
      <c r="L56" s="1"/>
      <c r="M56" s="1"/>
      <c r="N56" s="1"/>
    </row>
    <row r="57" spans="1:14" x14ac:dyDescent="0.3">
      <c r="C57" s="7"/>
      <c r="D57" s="7"/>
      <c r="E57" s="7"/>
      <c r="F57" s="2"/>
      <c r="J57" s="1"/>
      <c r="K57" s="1"/>
      <c r="L57" s="1"/>
      <c r="M57" s="1"/>
      <c r="N57" s="1"/>
    </row>
    <row r="58" spans="1:14" x14ac:dyDescent="0.3">
      <c r="C58" s="4" t="s">
        <v>64</v>
      </c>
      <c r="D58" s="7"/>
      <c r="E58" s="7"/>
      <c r="F58" s="6">
        <f>SUM(F47:F54)</f>
        <v>10964647</v>
      </c>
      <c r="J58" s="1"/>
      <c r="K58" s="1"/>
      <c r="L58" s="1"/>
      <c r="M58" s="1"/>
      <c r="N58" s="1"/>
    </row>
    <row r="59" spans="1:14" x14ac:dyDescent="0.3">
      <c r="C59" s="7"/>
      <c r="D59" s="7"/>
      <c r="E59" s="7"/>
      <c r="F59" s="2"/>
      <c r="J59" s="1"/>
      <c r="K59" s="1"/>
      <c r="L59" s="1"/>
      <c r="M59" s="1"/>
      <c r="N59" s="1"/>
    </row>
    <row r="60" spans="1:14" x14ac:dyDescent="0.3">
      <c r="C60" s="7" t="s">
        <v>27</v>
      </c>
      <c r="D60" s="6">
        <f>$D$15</f>
        <v>0.14699999999999999</v>
      </c>
      <c r="E60" s="7"/>
      <c r="F60" s="2"/>
      <c r="J60" s="1"/>
      <c r="K60" s="1"/>
      <c r="L60" s="1"/>
      <c r="M60" s="1"/>
      <c r="N60" s="1"/>
    </row>
    <row r="61" spans="1:14" x14ac:dyDescent="0.3">
      <c r="C61" s="7"/>
      <c r="D61" s="7"/>
      <c r="E61" s="7"/>
      <c r="F61" s="2"/>
      <c r="J61" s="1"/>
      <c r="K61" s="1"/>
      <c r="L61" s="1"/>
      <c r="M61" s="1"/>
      <c r="N61" s="1"/>
    </row>
    <row r="62" spans="1:14" x14ac:dyDescent="0.3">
      <c r="C62" s="7"/>
      <c r="D62" s="7"/>
      <c r="E62" s="7"/>
      <c r="F62" s="2"/>
      <c r="J62" s="1"/>
      <c r="K62" s="1"/>
      <c r="L62" s="1"/>
      <c r="M62" s="1"/>
      <c r="N62" s="1"/>
    </row>
    <row r="63" spans="1:14" x14ac:dyDescent="0.3">
      <c r="J63" s="1"/>
      <c r="K63" s="1"/>
      <c r="L63" s="1"/>
      <c r="M63" s="1"/>
      <c r="N63" s="1"/>
    </row>
    <row r="64" spans="1:14" x14ac:dyDescent="0.3">
      <c r="J64" s="1"/>
      <c r="K64" s="1"/>
      <c r="L64" s="1"/>
      <c r="M64" s="1"/>
      <c r="N64" s="1"/>
    </row>
    <row r="65" spans="1:14" x14ac:dyDescent="0.3">
      <c r="J65" s="1"/>
      <c r="K65" s="1"/>
      <c r="L65" s="1"/>
      <c r="M65" s="1"/>
      <c r="N65" s="1"/>
    </row>
    <row r="66" spans="1:14" x14ac:dyDescent="0.3">
      <c r="B66" s="31" t="s">
        <v>62</v>
      </c>
      <c r="C66" s="31" t="s">
        <v>63</v>
      </c>
      <c r="D66" s="18" t="s">
        <v>65</v>
      </c>
      <c r="E66" s="31" t="s">
        <v>61</v>
      </c>
      <c r="F66" s="31" t="s">
        <v>50</v>
      </c>
      <c r="J66" s="1"/>
      <c r="K66" s="1"/>
      <c r="L66" s="1"/>
      <c r="M66" s="1"/>
      <c r="N66" s="1"/>
    </row>
    <row r="67" spans="1:14" x14ac:dyDescent="0.3">
      <c r="A67" s="31" t="s">
        <v>48</v>
      </c>
      <c r="B67" s="31">
        <f>IF(F47="","",($D$19*F47))</f>
        <v>1338975.5999999999</v>
      </c>
      <c r="C67" s="31">
        <f>IF(B67="","",(((($D$19*0.001*B47)/F36)+D25^-1)^-1)*C25*F25- D47)</f>
        <v>6.0988702964410209</v>
      </c>
      <c r="D67" s="31"/>
      <c r="E67" s="31">
        <f>IF(B47="","",(($D$19*F47)-F47))</f>
        <v>-70472.40000000014</v>
      </c>
      <c r="F67" s="18"/>
      <c r="J67" s="1"/>
      <c r="K67" s="1"/>
      <c r="L67" s="1"/>
      <c r="M67" s="1"/>
      <c r="N67" s="1"/>
    </row>
    <row r="68" spans="1:14" x14ac:dyDescent="0.3">
      <c r="A68" s="31" t="s">
        <v>49</v>
      </c>
      <c r="B68" s="18" t="s">
        <v>60</v>
      </c>
      <c r="C68" s="31">
        <f>IF(B48="","",((((-C67+D48)/(C26*F26))^-1-D26^-1)*F37*1000))</f>
        <v>274.05428193630956</v>
      </c>
      <c r="D68" s="31">
        <f t="shared" ref="D68:D98" si="9">C68</f>
        <v>274.05428193630956</v>
      </c>
      <c r="E68" s="31">
        <f>IF(B48="","",(C68/B48)*F48- F48)</f>
        <v>74662.860477780458</v>
      </c>
      <c r="F68" s="31">
        <f>(E67+E68)</f>
        <v>4190.4604777803179</v>
      </c>
      <c r="G68" t="str">
        <f t="shared" ref="G68:G131" si="10">IF(F68&lt;0,F68,"")</f>
        <v/>
      </c>
      <c r="J68" s="1"/>
      <c r="K68" s="1"/>
      <c r="L68" s="1"/>
      <c r="M68" s="1"/>
      <c r="N68" s="1"/>
    </row>
    <row r="69" spans="1:14" x14ac:dyDescent="0.3">
      <c r="A69" s="31"/>
      <c r="D69" s="31"/>
      <c r="F69" s="31"/>
      <c r="G69" t="str">
        <f t="shared" si="10"/>
        <v/>
      </c>
      <c r="J69" s="1"/>
      <c r="K69" s="1"/>
      <c r="L69" s="1"/>
      <c r="M69" s="1"/>
      <c r="N69" s="1"/>
    </row>
    <row r="70" spans="1:14" x14ac:dyDescent="0.3">
      <c r="A70" s="31">
        <v>1</v>
      </c>
      <c r="B70" s="31">
        <f>$B$67</f>
        <v>1338975.5999999999</v>
      </c>
      <c r="C70" s="31">
        <f>$C$67</f>
        <v>6.0988702964410209</v>
      </c>
      <c r="D70" s="31"/>
      <c r="E70" s="31">
        <f>$E$67</f>
        <v>-70472.40000000014</v>
      </c>
      <c r="F70" s="31"/>
      <c r="G70" t="str">
        <f t="shared" si="10"/>
        <v/>
      </c>
      <c r="J70" s="1"/>
      <c r="K70" s="1"/>
      <c r="L70" s="1"/>
      <c r="M70" s="1"/>
      <c r="N70" s="1"/>
    </row>
    <row r="71" spans="1:14" x14ac:dyDescent="0.3">
      <c r="A71" s="31">
        <v>3</v>
      </c>
      <c r="B71" s="31"/>
      <c r="C71" s="31">
        <f>IF(B49="","",((((-C70+D49)/(C27*F27))^-1-D27^-1)*F38*1000))</f>
        <v>289.3369615682733</v>
      </c>
      <c r="D71" s="31">
        <f t="shared" si="9"/>
        <v>289.3369615682733</v>
      </c>
      <c r="E71" s="31">
        <f>IF(B49="","",(C71/B49)*F49- F49)</f>
        <v>71938.223846804583</v>
      </c>
      <c r="F71" s="31">
        <f>(E70+E71)</f>
        <v>1465.8238468044437</v>
      </c>
      <c r="G71" s="31" t="str">
        <f t="shared" si="10"/>
        <v/>
      </c>
      <c r="J71" s="1"/>
      <c r="K71" s="1"/>
      <c r="L71" s="1"/>
      <c r="M71" s="1"/>
      <c r="N71" s="1"/>
    </row>
    <row r="72" spans="1:14" x14ac:dyDescent="0.3">
      <c r="A72" s="31"/>
      <c r="B72" s="31"/>
      <c r="C72" s="31"/>
      <c r="D72" s="31"/>
      <c r="F72" s="31"/>
      <c r="G72" s="31" t="str">
        <f t="shared" si="10"/>
        <v/>
      </c>
    </row>
    <row r="73" spans="1:14" x14ac:dyDescent="0.3">
      <c r="A73" s="31">
        <v>1</v>
      </c>
      <c r="B73" s="31">
        <f>$B$67</f>
        <v>1338975.5999999999</v>
      </c>
      <c r="C73" s="31">
        <f>$C$67</f>
        <v>6.0988702964410209</v>
      </c>
      <c r="D73" s="31"/>
      <c r="E73" s="31">
        <f>$E$67</f>
        <v>-70472.40000000014</v>
      </c>
      <c r="F73" s="31"/>
      <c r="G73" s="31" t="str">
        <f t="shared" si="10"/>
        <v/>
      </c>
    </row>
    <row r="74" spans="1:14" x14ac:dyDescent="0.3">
      <c r="A74" s="31">
        <v>4</v>
      </c>
      <c r="B74" s="31"/>
      <c r="C74" s="31">
        <f>IF(B50="","",((((-C73+D50)/(C28*F28))^-1-D28^-1)*F39*1000))</f>
        <v>114.21137167661628</v>
      </c>
      <c r="D74" s="31">
        <f t="shared" si="9"/>
        <v>114.21137167661628</v>
      </c>
      <c r="E74" s="31">
        <f>IF(B50="","",(C74/B50)*F50- F50)</f>
        <v>76718.696937430999</v>
      </c>
      <c r="F74" s="31">
        <f>(E73+E74)</f>
        <v>6246.2969374308595</v>
      </c>
      <c r="G74" s="31" t="str">
        <f t="shared" si="10"/>
        <v/>
      </c>
    </row>
    <row r="75" spans="1:14" x14ac:dyDescent="0.3">
      <c r="A75" s="31"/>
      <c r="B75" s="31"/>
      <c r="C75" s="18"/>
      <c r="D75" s="31"/>
      <c r="E75" s="31"/>
      <c r="F75" s="31"/>
      <c r="G75" s="31" t="str">
        <f t="shared" si="10"/>
        <v/>
      </c>
    </row>
    <row r="76" spans="1:14" x14ac:dyDescent="0.3">
      <c r="A76" s="31">
        <v>1</v>
      </c>
      <c r="B76" s="31">
        <f>$B$67</f>
        <v>1338975.5999999999</v>
      </c>
      <c r="C76" s="31">
        <f>$C$67</f>
        <v>6.0988702964410209</v>
      </c>
      <c r="D76" s="31"/>
      <c r="E76" s="31">
        <f>$E$67</f>
        <v>-70472.40000000014</v>
      </c>
      <c r="F76" s="31"/>
      <c r="G76" s="31" t="str">
        <f t="shared" si="10"/>
        <v/>
      </c>
    </row>
    <row r="77" spans="1:14" x14ac:dyDescent="0.3">
      <c r="A77" s="31">
        <v>5</v>
      </c>
      <c r="B77" s="31"/>
      <c r="C77" s="31">
        <f>IF(B51="","",((((-C76+D51)/(C29*F29))^-1-D29^-1)*F40*1000))</f>
        <v>278.75369347379262</v>
      </c>
      <c r="D77" s="31">
        <f t="shared" si="9"/>
        <v>278.75369347379262</v>
      </c>
      <c r="E77" s="31">
        <f>IF(B51="","",(C77/B51)*F51- F51)</f>
        <v>130130.84674607281</v>
      </c>
      <c r="F77" s="31">
        <f>(E76+E77)</f>
        <v>59658.446746072674</v>
      </c>
      <c r="G77" s="31" t="str">
        <f t="shared" si="10"/>
        <v/>
      </c>
    </row>
    <row r="78" spans="1:14" x14ac:dyDescent="0.3">
      <c r="A78" s="31"/>
      <c r="B78" s="31"/>
      <c r="C78" s="18"/>
      <c r="D78" s="31"/>
      <c r="E78" s="31"/>
      <c r="F78" s="31"/>
      <c r="G78" s="31" t="str">
        <f t="shared" si="10"/>
        <v/>
      </c>
    </row>
    <row r="79" spans="1:14" x14ac:dyDescent="0.3">
      <c r="A79" s="31">
        <v>1</v>
      </c>
      <c r="B79" s="31">
        <f>$B$67</f>
        <v>1338975.5999999999</v>
      </c>
      <c r="C79" s="31">
        <f>$C$67</f>
        <v>6.0988702964410209</v>
      </c>
      <c r="D79" s="31"/>
      <c r="E79" s="31">
        <f>$E$67</f>
        <v>-70472.40000000014</v>
      </c>
      <c r="F79" s="31"/>
      <c r="G79" s="31" t="str">
        <f t="shared" si="10"/>
        <v/>
      </c>
    </row>
    <row r="80" spans="1:14" x14ac:dyDescent="0.3">
      <c r="A80" s="31">
        <v>6</v>
      </c>
      <c r="B80" s="31"/>
      <c r="C80" s="31">
        <f>IF(B52="","",((((-C79+D52)/(C30*F30))^-1-D30^-1)*F41*1000))</f>
        <v>186.68535687234629</v>
      </c>
      <c r="D80" s="31">
        <f t="shared" si="9"/>
        <v>186.68535687234629</v>
      </c>
      <c r="E80" s="31">
        <f>IF(B52="","",(C80/B52)*F52- F52)</f>
        <v>79038.376027998747</v>
      </c>
      <c r="F80" s="31">
        <f>(E79+E80)</f>
        <v>8565.9760279986076</v>
      </c>
      <c r="G80" s="31" t="str">
        <f t="shared" si="10"/>
        <v/>
      </c>
    </row>
    <row r="81" spans="1:7" x14ac:dyDescent="0.3">
      <c r="A81" s="31"/>
      <c r="B81" s="31"/>
      <c r="C81" s="31"/>
      <c r="D81" s="31"/>
      <c r="E81" s="31"/>
      <c r="F81" s="31"/>
      <c r="G81" s="31" t="str">
        <f t="shared" si="10"/>
        <v/>
      </c>
    </row>
    <row r="82" spans="1:7" x14ac:dyDescent="0.3">
      <c r="A82" s="31">
        <v>1</v>
      </c>
      <c r="B82" s="31">
        <f>$B$67</f>
        <v>1338975.5999999999</v>
      </c>
      <c r="C82" s="31">
        <f>$C$67</f>
        <v>6.0988702964410209</v>
      </c>
      <c r="D82" s="31"/>
      <c r="E82" s="31">
        <f>$E$67</f>
        <v>-70472.40000000014</v>
      </c>
      <c r="F82" s="31"/>
      <c r="G82" s="31" t="str">
        <f t="shared" si="10"/>
        <v/>
      </c>
    </row>
    <row r="83" spans="1:7" x14ac:dyDescent="0.3">
      <c r="A83" s="31">
        <v>7</v>
      </c>
      <c r="B83" s="31"/>
      <c r="C83" s="31">
        <f>IF(B53="","",((((-C82+D53)/(C31*F31))^-1-D31^-1)*F42*1000))</f>
        <v>93.537246251508833</v>
      </c>
      <c r="D83" s="31">
        <f t="shared" si="9"/>
        <v>93.537246251508833</v>
      </c>
      <c r="E83" s="31">
        <f>IF(B53="","",(C83/B53)*F53- F53)</f>
        <v>77426.390171915526</v>
      </c>
      <c r="F83" s="31">
        <f>(E82+E83)</f>
        <v>6953.9901719153859</v>
      </c>
      <c r="G83" s="31" t="str">
        <f t="shared" si="10"/>
        <v/>
      </c>
    </row>
    <row r="84" spans="1:7" x14ac:dyDescent="0.3">
      <c r="A84" s="31"/>
      <c r="B84" s="31"/>
      <c r="C84" s="31"/>
      <c r="D84" s="31"/>
      <c r="E84" s="31"/>
      <c r="F84" s="31"/>
      <c r="G84" s="31" t="str">
        <f t="shared" si="10"/>
        <v/>
      </c>
    </row>
    <row r="85" spans="1:7" x14ac:dyDescent="0.3">
      <c r="A85" s="31">
        <v>1</v>
      </c>
      <c r="B85" s="31">
        <f>$B$67</f>
        <v>1338975.5999999999</v>
      </c>
      <c r="C85" s="31">
        <f>$C$67</f>
        <v>6.0988702964410209</v>
      </c>
      <c r="D85" s="31"/>
      <c r="E85" s="31">
        <f>$E$67</f>
        <v>-70472.40000000014</v>
      </c>
      <c r="F85" s="31"/>
      <c r="G85" s="31" t="str">
        <f t="shared" si="10"/>
        <v/>
      </c>
    </row>
    <row r="86" spans="1:7" x14ac:dyDescent="0.3">
      <c r="A86" s="31">
        <v>8</v>
      </c>
      <c r="C86" s="31">
        <f>IF(B54="","",((((-C85+D54)/(C32*F32))^-1-D32^-1)*F43*1000))</f>
        <v>136.6943913541663</v>
      </c>
      <c r="D86" s="31">
        <f t="shared" si="9"/>
        <v>136.6943913541663</v>
      </c>
      <c r="E86" s="31">
        <f>IF(B54="","",(C86/B54)*F54- F54)</f>
        <v>79121.370133799966</v>
      </c>
      <c r="F86" s="31">
        <f>(E85+E86)</f>
        <v>8648.9701337998267</v>
      </c>
      <c r="G86" s="31" t="str">
        <f t="shared" si="10"/>
        <v/>
      </c>
    </row>
    <row r="87" spans="1:7" x14ac:dyDescent="0.3">
      <c r="A87" s="31"/>
      <c r="B87" s="32"/>
      <c r="C87" s="33"/>
      <c r="D87" s="31"/>
      <c r="E87" s="32"/>
      <c r="F87" s="32"/>
      <c r="G87" s="31" t="str">
        <f t="shared" si="10"/>
        <v/>
      </c>
    </row>
    <row r="88" spans="1:7" x14ac:dyDescent="0.3">
      <c r="A88" s="31">
        <v>2</v>
      </c>
      <c r="B88" s="31">
        <f>IF(F48="","",($D$19*F48))</f>
        <v>2342518.5499999998</v>
      </c>
      <c r="C88" s="31">
        <f>IF(B88="","",(((($D$19*0.001*B48)/F37)+D26^-1)^-1)*C26*F26- D48)</f>
        <v>10.51716872615458</v>
      </c>
      <c r="D88" s="31"/>
      <c r="E88" s="31">
        <f>IF(B48="","",(($D$19*F48)-F48))</f>
        <v>-123290.45000000019</v>
      </c>
      <c r="F88" s="31"/>
      <c r="G88" s="31" t="str">
        <f t="shared" si="10"/>
        <v/>
      </c>
    </row>
    <row r="89" spans="1:7" x14ac:dyDescent="0.3">
      <c r="A89" s="31">
        <v>3</v>
      </c>
      <c r="B89" s="31"/>
      <c r="C89" s="31">
        <f>IF(B49="","",((((-C88+D49)/(C27*F27))^-1-D27^-1)*F38*1000))</f>
        <v>305.51142547049164</v>
      </c>
      <c r="D89" s="31">
        <f t="shared" si="9"/>
        <v>305.51142547049164</v>
      </c>
      <c r="E89" s="31">
        <f>IF(B49="","",(C89/B49)*F49- F49)</f>
        <v>132111.18332089949</v>
      </c>
      <c r="F89" s="31">
        <f>(E88+E89)</f>
        <v>8820.7333208993077</v>
      </c>
      <c r="G89" s="31" t="str">
        <f t="shared" si="10"/>
        <v/>
      </c>
    </row>
    <row r="90" spans="1:7" x14ac:dyDescent="0.3">
      <c r="A90" s="31"/>
      <c r="B90" s="31"/>
      <c r="C90" s="18"/>
      <c r="D90" s="31"/>
      <c r="E90" s="31"/>
      <c r="F90" s="31"/>
      <c r="G90" s="31" t="str">
        <f t="shared" si="10"/>
        <v/>
      </c>
    </row>
    <row r="91" spans="1:7" x14ac:dyDescent="0.3">
      <c r="A91" s="31">
        <v>2</v>
      </c>
      <c r="B91" s="31">
        <f>$B$88</f>
        <v>2342518.5499999998</v>
      </c>
      <c r="C91" s="31">
        <f>$C$88</f>
        <v>10.51716872615458</v>
      </c>
      <c r="D91" s="31"/>
      <c r="E91" s="31">
        <f>$E$88</f>
        <v>-123290.45000000019</v>
      </c>
      <c r="F91" s="31"/>
      <c r="G91" s="31" t="str">
        <f t="shared" si="10"/>
        <v/>
      </c>
    </row>
    <row r="92" spans="1:7" x14ac:dyDescent="0.3">
      <c r="A92" s="31">
        <v>4</v>
      </c>
      <c r="B92" s="31"/>
      <c r="C92" s="31">
        <f>IF(B50="","",((((-C91+D50)/(C28*F28))^-1-D28^-1)*F39*1000))</f>
        <v>125.86931633991027</v>
      </c>
      <c r="D92" s="31">
        <f t="shared" si="9"/>
        <v>125.86931633991027</v>
      </c>
      <c r="E92" s="31">
        <f>IF(B50="","",(C92/B50)*F50- F50)</f>
        <v>144416.61244756856</v>
      </c>
      <c r="F92" s="31">
        <f>(E91+E92)</f>
        <v>21126.162447568378</v>
      </c>
      <c r="G92" s="31" t="str">
        <f t="shared" si="10"/>
        <v/>
      </c>
    </row>
    <row r="93" spans="1:7" x14ac:dyDescent="0.3">
      <c r="A93" s="31"/>
      <c r="B93" s="31"/>
      <c r="C93" s="31"/>
      <c r="D93" s="31"/>
      <c r="E93" s="31"/>
      <c r="F93" s="31"/>
      <c r="G93" s="31" t="str">
        <f t="shared" si="10"/>
        <v/>
      </c>
    </row>
    <row r="94" spans="1:7" x14ac:dyDescent="0.3">
      <c r="A94" s="31">
        <v>2</v>
      </c>
      <c r="B94" s="31">
        <f>$B$88</f>
        <v>2342518.5499999998</v>
      </c>
      <c r="C94" s="31">
        <f>$C$88</f>
        <v>10.51716872615458</v>
      </c>
      <c r="D94" s="31"/>
      <c r="E94" s="31">
        <f>$E$88</f>
        <v>-123290.45000000019</v>
      </c>
      <c r="F94" s="31"/>
      <c r="G94" s="31" t="str">
        <f t="shared" si="10"/>
        <v/>
      </c>
    </row>
    <row r="95" spans="1:7" x14ac:dyDescent="0.3">
      <c r="A95" s="31">
        <v>5</v>
      </c>
      <c r="B95" s="31"/>
      <c r="C95" s="31">
        <f>IF(B51="","",((((-C94+D51)/(C29*F29))^-1-D29^-1)*F40*1000))</f>
        <v>451.7811890520349</v>
      </c>
      <c r="D95" s="31">
        <f t="shared" si="9"/>
        <v>451.7811890520349</v>
      </c>
      <c r="E95" s="31">
        <f>(IF(B51="","",C95/B51)*F51- F51)</f>
        <v>347146.87534303509</v>
      </c>
      <c r="F95" s="31">
        <f>(E94+E95)</f>
        <v>223856.42534303491</v>
      </c>
      <c r="G95" s="31" t="str">
        <f t="shared" si="10"/>
        <v/>
      </c>
    </row>
    <row r="96" spans="1:7" x14ac:dyDescent="0.3">
      <c r="A96" s="31"/>
      <c r="B96" s="31"/>
      <c r="C96" s="31"/>
      <c r="D96" s="31"/>
      <c r="E96" s="31"/>
      <c r="F96" s="31"/>
      <c r="G96" s="31" t="str">
        <f t="shared" si="10"/>
        <v/>
      </c>
    </row>
    <row r="97" spans="1:7" x14ac:dyDescent="0.3">
      <c r="A97" s="31">
        <v>2</v>
      </c>
      <c r="B97" s="31">
        <f>$B$88</f>
        <v>2342518.5499999998</v>
      </c>
      <c r="C97" s="31">
        <f>$C$88</f>
        <v>10.51716872615458</v>
      </c>
      <c r="D97" s="31"/>
      <c r="E97" s="31">
        <f>$E$88</f>
        <v>-123290.45000000019</v>
      </c>
      <c r="F97" s="31"/>
      <c r="G97" s="31" t="str">
        <f t="shared" si="10"/>
        <v/>
      </c>
    </row>
    <row r="98" spans="1:7" x14ac:dyDescent="0.3">
      <c r="A98" s="31">
        <v>6</v>
      </c>
      <c r="B98" s="31"/>
      <c r="C98" s="31">
        <f>IF(B52="","",((((-C97+D52)/(C30*F30))^-1-D30^-1)*F41*1000))</f>
        <v>197.62147779051247</v>
      </c>
      <c r="D98" s="31">
        <f t="shared" si="9"/>
        <v>197.62147779051247</v>
      </c>
      <c r="E98" s="31">
        <f>IF(B52="","",(C98/B52)*F52- F52)</f>
        <v>147177.82579799206</v>
      </c>
      <c r="F98" s="31">
        <f>(E97+E98)</f>
        <v>23887.375797991874</v>
      </c>
      <c r="G98" s="31" t="str">
        <f t="shared" si="10"/>
        <v/>
      </c>
    </row>
    <row r="99" spans="1:7" x14ac:dyDescent="0.3">
      <c r="A99" s="31"/>
      <c r="B99" s="31"/>
      <c r="C99" s="31"/>
      <c r="D99" s="31"/>
      <c r="E99" s="31"/>
      <c r="F99" s="31"/>
      <c r="G99" s="31" t="str">
        <f t="shared" si="10"/>
        <v/>
      </c>
    </row>
    <row r="100" spans="1:7" x14ac:dyDescent="0.3">
      <c r="A100" s="31">
        <v>2</v>
      </c>
      <c r="B100" s="31">
        <f>$B$88</f>
        <v>2342518.5499999998</v>
      </c>
      <c r="C100" s="31">
        <f>$C$88</f>
        <v>10.51716872615458</v>
      </c>
      <c r="D100" s="31"/>
      <c r="E100" s="31">
        <f>$E$88</f>
        <v>-123290.45000000019</v>
      </c>
      <c r="F100" s="31"/>
      <c r="G100" s="31" t="str">
        <f t="shared" si="10"/>
        <v/>
      </c>
    </row>
    <row r="101" spans="1:7" x14ac:dyDescent="0.3">
      <c r="A101" s="31">
        <v>7</v>
      </c>
      <c r="B101" s="31"/>
      <c r="C101" s="31">
        <f>IF(B53="","",((((-C100+D53)/(C31*F31))^-1-D31^-1)*F42*1000))</f>
        <v>96.226568623515476</v>
      </c>
      <c r="D101" s="31">
        <f t="shared" ref="D101:D131" si="11">C101</f>
        <v>96.226568623515476</v>
      </c>
      <c r="E101" s="31">
        <f>IF(B53="","",(C101/B53)*F53- F53)</f>
        <v>136292.66875917185</v>
      </c>
      <c r="F101" s="31">
        <f>(E100+E101)</f>
        <v>13002.218759171665</v>
      </c>
      <c r="G101" s="31" t="str">
        <f t="shared" si="10"/>
        <v/>
      </c>
    </row>
    <row r="102" spans="1:7" x14ac:dyDescent="0.3">
      <c r="A102" s="31"/>
      <c r="B102" s="31"/>
      <c r="C102" s="31"/>
      <c r="D102" s="31"/>
      <c r="E102" s="31"/>
      <c r="F102" s="31"/>
      <c r="G102" s="31" t="str">
        <f t="shared" si="10"/>
        <v/>
      </c>
    </row>
    <row r="103" spans="1:7" x14ac:dyDescent="0.3">
      <c r="A103" s="31">
        <v>2</v>
      </c>
      <c r="B103" s="31">
        <f>$B$88</f>
        <v>2342518.5499999998</v>
      </c>
      <c r="C103" s="31">
        <f>$C$88</f>
        <v>10.51716872615458</v>
      </c>
      <c r="D103" s="31"/>
      <c r="E103" s="31">
        <f>$E$88</f>
        <v>-123290.45000000019</v>
      </c>
      <c r="F103" s="31"/>
      <c r="G103" s="31" t="str">
        <f t="shared" si="10"/>
        <v/>
      </c>
    </row>
    <row r="104" spans="1:7" x14ac:dyDescent="0.3">
      <c r="A104" s="31">
        <v>8</v>
      </c>
      <c r="B104" s="31"/>
      <c r="C104" s="31">
        <f>IF(B54="","",((((-C103+D54)/(C32*F32))^-1-D32^-1)*F43*1000))</f>
        <v>140.14076680058966</v>
      </c>
      <c r="D104" s="31">
        <f t="shared" si="11"/>
        <v>140.14076680058966</v>
      </c>
      <c r="E104" s="31">
        <f>IF(B54="","",(C104/B54)*F54- F54)</f>
        <v>137208.1223332081</v>
      </c>
      <c r="F104" s="31">
        <f>(E103+E104)</f>
        <v>13917.672333207913</v>
      </c>
      <c r="G104" s="31" t="str">
        <f t="shared" si="10"/>
        <v/>
      </c>
    </row>
    <row r="105" spans="1:7" x14ac:dyDescent="0.3">
      <c r="A105" s="31"/>
      <c r="B105" s="33"/>
      <c r="C105" s="33"/>
      <c r="D105" s="31"/>
      <c r="E105" s="33"/>
      <c r="F105" s="33"/>
      <c r="G105" s="31" t="str">
        <f t="shared" si="10"/>
        <v/>
      </c>
    </row>
    <row r="106" spans="1:7" x14ac:dyDescent="0.3">
      <c r="A106" s="31">
        <v>3</v>
      </c>
      <c r="B106" s="31">
        <f>IF(F49="","",($D$19*F49))</f>
        <v>954242.7</v>
      </c>
      <c r="C106" s="31">
        <f>IF(B106="","",(((($D$19*0.001*B49)/F38)+D27^-1)^-1)*C27*F27- D49)</f>
        <v>4.5046448477919228</v>
      </c>
      <c r="D106" s="31"/>
      <c r="E106" s="31">
        <f>IF(B49="","",(($D$19*F49)-F49))</f>
        <v>-50223.300000000047</v>
      </c>
      <c r="F106" s="31"/>
      <c r="G106" s="31" t="str">
        <f t="shared" si="10"/>
        <v/>
      </c>
    </row>
    <row r="107" spans="1:7" x14ac:dyDescent="0.3">
      <c r="A107" s="31">
        <v>4</v>
      </c>
      <c r="B107" s="31"/>
      <c r="C107" s="31">
        <f>IF(B50="","",((((-C106+D50)/(C28*F28))^-1-D28^-1)*F39*1000))</f>
        <v>110.47769065506672</v>
      </c>
      <c r="D107" s="31">
        <f t="shared" si="11"/>
        <v>110.47769065506672</v>
      </c>
      <c r="E107" s="31">
        <f>IF(B50="","",(C107/B50)*F50- F50)</f>
        <v>55037.137311015162</v>
      </c>
      <c r="F107" s="31">
        <f>(E106+E107)</f>
        <v>4813.8373110151151</v>
      </c>
      <c r="G107" s="31" t="str">
        <f t="shared" si="10"/>
        <v/>
      </c>
    </row>
    <row r="108" spans="1:7" x14ac:dyDescent="0.3">
      <c r="A108" s="31"/>
      <c r="B108" s="31"/>
      <c r="C108" s="31"/>
      <c r="D108" s="31"/>
      <c r="E108" s="31"/>
      <c r="F108" s="31"/>
      <c r="G108" s="31" t="str">
        <f t="shared" si="10"/>
        <v/>
      </c>
    </row>
    <row r="109" spans="1:7" x14ac:dyDescent="0.3">
      <c r="A109" s="31">
        <v>3</v>
      </c>
      <c r="B109" s="31">
        <f>$B$106</f>
        <v>954242.7</v>
      </c>
      <c r="C109" s="31">
        <f>$C$106</f>
        <v>4.5046448477919228</v>
      </c>
      <c r="D109" s="31"/>
      <c r="E109" s="31">
        <f>$E$106</f>
        <v>-50223.300000000047</v>
      </c>
      <c r="F109" s="31"/>
      <c r="G109" s="31" t="str">
        <f t="shared" si="10"/>
        <v/>
      </c>
    </row>
    <row r="110" spans="1:7" x14ac:dyDescent="0.3">
      <c r="A110" s="31">
        <v>5</v>
      </c>
      <c r="B110" s="31"/>
      <c r="C110" s="31">
        <f>IF(B51="","",((((-C109+D51)/(C29*F29))^-1-D29^-1)*F40*1000))</f>
        <v>244.13653252928586</v>
      </c>
      <c r="D110" s="31">
        <f t="shared" si="11"/>
        <v>244.13653252928586</v>
      </c>
      <c r="E110" s="31">
        <f>IF(B51="","",(C110/B51)*F51- F51)</f>
        <v>86713.014427731163</v>
      </c>
      <c r="F110" s="31">
        <f>(E109+E110)</f>
        <v>36489.714427731116</v>
      </c>
      <c r="G110" s="31" t="str">
        <f t="shared" si="10"/>
        <v/>
      </c>
    </row>
    <row r="111" spans="1:7" x14ac:dyDescent="0.3">
      <c r="A111" s="31"/>
      <c r="B111" s="31"/>
      <c r="C111" s="31"/>
      <c r="D111" s="31"/>
      <c r="E111" s="31"/>
      <c r="F111" s="31"/>
      <c r="G111" s="31" t="str">
        <f t="shared" si="10"/>
        <v/>
      </c>
    </row>
    <row r="112" spans="1:7" x14ac:dyDescent="0.3">
      <c r="A112" s="31">
        <v>3</v>
      </c>
      <c r="B112" s="31">
        <f>$B$106</f>
        <v>954242.7</v>
      </c>
      <c r="C112" s="31">
        <f>$C$106</f>
        <v>4.5046448477919228</v>
      </c>
      <c r="D112" s="31"/>
      <c r="E112" s="31">
        <f>$E$106</f>
        <v>-50223.300000000047</v>
      </c>
      <c r="F112" s="31"/>
      <c r="G112" s="31" t="str">
        <f t="shared" si="10"/>
        <v/>
      </c>
    </row>
    <row r="113" spans="1:7" x14ac:dyDescent="0.3">
      <c r="A113" s="31">
        <v>6</v>
      </c>
      <c r="B113" s="31"/>
      <c r="C113" s="31">
        <f>IF(B52="","",((((-C112+D52)/(C30*F30))^-1-D30^-1)*F41*1000))</f>
        <v>183.0105111849789</v>
      </c>
      <c r="D113" s="31">
        <f t="shared" si="11"/>
        <v>183.0105111849789</v>
      </c>
      <c r="E113" s="31">
        <f>IF(B52="","",(C113/B52)*F52- F52)</f>
        <v>56141.595258969348</v>
      </c>
      <c r="F113" s="31">
        <f>(E112+E113)</f>
        <v>5918.2952589693014</v>
      </c>
      <c r="G113" s="31" t="str">
        <f t="shared" si="10"/>
        <v/>
      </c>
    </row>
    <row r="114" spans="1:7" x14ac:dyDescent="0.3">
      <c r="A114" s="31"/>
      <c r="B114" s="31"/>
      <c r="C114" s="31"/>
      <c r="D114" s="31"/>
      <c r="E114" s="31"/>
      <c r="F114" s="31"/>
      <c r="G114" s="31" t="str">
        <f t="shared" si="10"/>
        <v/>
      </c>
    </row>
    <row r="115" spans="1:7" x14ac:dyDescent="0.3">
      <c r="A115" s="31">
        <v>3</v>
      </c>
      <c r="B115" s="31">
        <f>$B$106</f>
        <v>954242.7</v>
      </c>
      <c r="C115" s="31">
        <f>$C$106</f>
        <v>4.5046448477919228</v>
      </c>
      <c r="D115" s="31"/>
      <c r="E115" s="31">
        <f>$E$106</f>
        <v>-50223.300000000047</v>
      </c>
      <c r="F115" s="31"/>
      <c r="G115" s="31" t="str">
        <f t="shared" si="10"/>
        <v/>
      </c>
    </row>
    <row r="116" spans="1:7" x14ac:dyDescent="0.3">
      <c r="A116" s="31">
        <v>7</v>
      </c>
      <c r="B116" s="31"/>
      <c r="C116" s="31">
        <f>IF(B53="","",((((-C115+D53)/(C31*F31))^-1-D31^-1)*F42*1000))</f>
        <v>92.599200058699665</v>
      </c>
      <c r="D116" s="31">
        <f t="shared" si="11"/>
        <v>92.599200058699665</v>
      </c>
      <c r="E116" s="31">
        <f>IF(B53="","",(C116/B53)*F53- F53)</f>
        <v>56893.601284870412</v>
      </c>
      <c r="F116" s="31">
        <f>(E115+E116)</f>
        <v>6670.3012848703656</v>
      </c>
      <c r="G116" s="31" t="str">
        <f t="shared" si="10"/>
        <v/>
      </c>
    </row>
    <row r="117" spans="1:7" x14ac:dyDescent="0.3">
      <c r="A117" s="31"/>
      <c r="B117" s="31"/>
      <c r="C117" s="31"/>
      <c r="D117" s="31"/>
      <c r="E117" s="31"/>
      <c r="F117" s="31"/>
      <c r="G117" s="31" t="str">
        <f t="shared" si="10"/>
        <v/>
      </c>
    </row>
    <row r="118" spans="1:7" x14ac:dyDescent="0.3">
      <c r="A118" s="31">
        <v>3</v>
      </c>
      <c r="B118" s="31">
        <f>$B$106</f>
        <v>954242.7</v>
      </c>
      <c r="C118" s="31">
        <f>$C$106</f>
        <v>4.5046448477919228</v>
      </c>
      <c r="D118" s="31"/>
      <c r="E118" s="31">
        <f>$E$106</f>
        <v>-50223.300000000047</v>
      </c>
      <c r="F118" s="31"/>
      <c r="G118" s="31" t="str">
        <f t="shared" si="10"/>
        <v/>
      </c>
    </row>
    <row r="119" spans="1:7" x14ac:dyDescent="0.3">
      <c r="A119" s="31">
        <v>8</v>
      </c>
      <c r="B119" s="31"/>
      <c r="C119" s="31">
        <f>IF(B54="","",((((-C118+D54)/(C32*F32))^-1-D32^-1)*F43*1000))</f>
        <v>135.48871641791044</v>
      </c>
      <c r="D119" s="31">
        <f t="shared" si="11"/>
        <v>135.48871641791044</v>
      </c>
      <c r="E119" s="31">
        <f>IF(B54="","",(C119/B54)*F54- F54)</f>
        <v>58800.385857983027</v>
      </c>
      <c r="F119" s="31">
        <f>(E118+E119)</f>
        <v>8577.0858579829801</v>
      </c>
      <c r="G119" s="31" t="str">
        <f t="shared" si="10"/>
        <v/>
      </c>
    </row>
    <row r="120" spans="1:7" x14ac:dyDescent="0.3">
      <c r="A120" s="31"/>
      <c r="B120" s="33"/>
      <c r="C120" s="33"/>
      <c r="D120" s="31"/>
      <c r="E120" s="33"/>
      <c r="F120" s="33"/>
      <c r="G120" s="31" t="str">
        <f t="shared" si="10"/>
        <v/>
      </c>
    </row>
    <row r="121" spans="1:7" x14ac:dyDescent="0.3">
      <c r="A121" s="31">
        <v>4</v>
      </c>
      <c r="B121" s="31">
        <f>IF(F50="","",($D$19*F50))</f>
        <v>557183.54999999993</v>
      </c>
      <c r="C121" s="31">
        <f>IF(B121="","",(((($D$19*0.001*B50)/F39)+D28^-1)^-1)*C28*F28- D50)</f>
        <v>2.756878744485519</v>
      </c>
      <c r="D121" s="31"/>
      <c r="E121" s="31">
        <f>IF(B50="","",(($D$19*F50)-F50))</f>
        <v>-29325.45000000007</v>
      </c>
      <c r="F121" s="31"/>
      <c r="G121" s="31" t="str">
        <f t="shared" si="10"/>
        <v/>
      </c>
    </row>
    <row r="122" spans="1:7" x14ac:dyDescent="0.3">
      <c r="A122" s="31">
        <v>5</v>
      </c>
      <c r="B122" s="31"/>
      <c r="C122" s="31">
        <f>IF(B51="","",((((-C121+D51)/(C29*F29))^-1-D29^-1)*F40*1000))</f>
        <v>214.50601029223805</v>
      </c>
      <c r="D122" s="31">
        <f t="shared" si="11"/>
        <v>214.50601029223805</v>
      </c>
      <c r="E122" s="31">
        <f>IF(B51="","",(C122/B51)*F51- F51)</f>
        <v>49549.566851676151</v>
      </c>
      <c r="F122" s="31">
        <f>(E121+E122)</f>
        <v>20224.116851676081</v>
      </c>
      <c r="G122" s="31" t="str">
        <f t="shared" si="10"/>
        <v/>
      </c>
    </row>
    <row r="123" spans="1:7" x14ac:dyDescent="0.3">
      <c r="A123" s="31"/>
      <c r="B123" s="31"/>
      <c r="C123" s="31"/>
      <c r="D123" s="31"/>
      <c r="E123" s="31"/>
      <c r="F123" s="31"/>
      <c r="G123" s="31" t="str">
        <f t="shared" si="10"/>
        <v/>
      </c>
    </row>
    <row r="124" spans="1:7" x14ac:dyDescent="0.3">
      <c r="A124" s="31">
        <v>4</v>
      </c>
      <c r="B124" s="31">
        <f>$B$121</f>
        <v>557183.54999999993</v>
      </c>
      <c r="C124" s="31">
        <f>$C$121</f>
        <v>2.756878744485519</v>
      </c>
      <c r="D124" s="31"/>
      <c r="E124" s="31">
        <f>$E$121</f>
        <v>-29325.45000000007</v>
      </c>
      <c r="F124" s="31"/>
      <c r="G124" s="31" t="str">
        <f t="shared" si="10"/>
        <v/>
      </c>
    </row>
    <row r="125" spans="1:7" x14ac:dyDescent="0.3">
      <c r="A125" s="31">
        <v>6</v>
      </c>
      <c r="B125" s="31"/>
      <c r="C125" s="31">
        <f>IF(B52="","",((((-C124+D52)/(C30*F30))^-1-D30^-1)*F41*1000))</f>
        <v>179.13260939626156</v>
      </c>
      <c r="D125" s="31">
        <f t="shared" si="11"/>
        <v>179.13260939626156</v>
      </c>
      <c r="E125" s="31">
        <f>IF(B52="","",(C125/B52)*F52- F52)</f>
        <v>31979.637273817323</v>
      </c>
      <c r="F125" s="31">
        <f>(E124+E125)</f>
        <v>2654.1872738172533</v>
      </c>
      <c r="G125" s="31" t="str">
        <f t="shared" si="10"/>
        <v/>
      </c>
    </row>
    <row r="126" spans="1:7" x14ac:dyDescent="0.3">
      <c r="A126" s="31"/>
      <c r="B126" s="31"/>
      <c r="C126" s="31"/>
      <c r="D126" s="31"/>
      <c r="E126" s="31"/>
      <c r="F126" s="31"/>
      <c r="G126" s="31" t="str">
        <f t="shared" si="10"/>
        <v/>
      </c>
    </row>
    <row r="127" spans="1:7" x14ac:dyDescent="0.3">
      <c r="A127" s="31">
        <v>4</v>
      </c>
      <c r="B127" s="31">
        <f>$B$121</f>
        <v>557183.54999999993</v>
      </c>
      <c r="C127" s="31">
        <f>$C$121</f>
        <v>2.756878744485519</v>
      </c>
      <c r="D127" s="31"/>
      <c r="E127" s="31">
        <f>$E$121</f>
        <v>-29325.45000000007</v>
      </c>
      <c r="F127" s="31"/>
      <c r="G127" s="31" t="str">
        <f t="shared" si="10"/>
        <v/>
      </c>
    </row>
    <row r="128" spans="1:7" x14ac:dyDescent="0.3">
      <c r="A128" s="31">
        <v>7</v>
      </c>
      <c r="B128" s="31"/>
      <c r="C128" s="31">
        <f>IF(B53="","",((((-C127+D53)/(C31*F31))^-1-D31^-1)*F42*1000))</f>
        <v>91.589668876231499</v>
      </c>
      <c r="D128" s="31">
        <f t="shared" si="11"/>
        <v>91.589668876231499</v>
      </c>
      <c r="E128" s="31">
        <f>IF(B53="","",(C128/B53)*F53- F53)</f>
        <v>34796.085401956225</v>
      </c>
      <c r="F128" s="31">
        <f>(E127+E128)</f>
        <v>5470.635401956155</v>
      </c>
      <c r="G128" s="31" t="str">
        <f t="shared" si="10"/>
        <v/>
      </c>
    </row>
    <row r="129" spans="1:7" x14ac:dyDescent="0.3">
      <c r="A129" s="31"/>
      <c r="B129" s="31"/>
      <c r="C129" s="31"/>
      <c r="D129" s="31"/>
      <c r="E129" s="31"/>
      <c r="F129" s="31"/>
      <c r="G129" s="31" t="str">
        <f t="shared" si="10"/>
        <v/>
      </c>
    </row>
    <row r="130" spans="1:7" x14ac:dyDescent="0.3">
      <c r="A130" s="31">
        <v>4</v>
      </c>
      <c r="B130" s="31">
        <f>$B$121</f>
        <v>557183.54999999993</v>
      </c>
      <c r="C130" s="31">
        <f>$C$121</f>
        <v>2.756878744485519</v>
      </c>
      <c r="D130" s="31"/>
      <c r="E130" s="31">
        <f>$E$121</f>
        <v>-29325.45000000007</v>
      </c>
      <c r="F130" s="31"/>
      <c r="G130" s="31" t="str">
        <f t="shared" si="10"/>
        <v/>
      </c>
    </row>
    <row r="131" spans="1:7" x14ac:dyDescent="0.3">
      <c r="A131" s="31">
        <v>8</v>
      </c>
      <c r="B131" s="31"/>
      <c r="C131" s="31">
        <f>IF(B54="","",((((-C130+D54)/(C32*F32))^-1-D32^-1)*F43*1000))</f>
        <v>134.18909334964135</v>
      </c>
      <c r="D131" s="31">
        <f t="shared" si="11"/>
        <v>134.18909334964135</v>
      </c>
      <c r="E131" s="31">
        <f>IF(B54="","",(C131/B54)*F54- F54)</f>
        <v>36895.957773246802</v>
      </c>
      <c r="F131" s="31">
        <f>(E130+E131)</f>
        <v>7570.5077732467325</v>
      </c>
      <c r="G131" s="31" t="str">
        <f t="shared" si="10"/>
        <v/>
      </c>
    </row>
    <row r="132" spans="1:7" x14ac:dyDescent="0.3">
      <c r="A132" s="31"/>
      <c r="B132" s="33"/>
      <c r="C132" s="33"/>
      <c r="D132" s="31"/>
      <c r="E132" s="33"/>
      <c r="F132" s="33"/>
      <c r="G132" s="31" t="str">
        <f t="shared" ref="G132:G195" si="12">IF(F132&lt;0,F132,"")</f>
        <v/>
      </c>
    </row>
    <row r="133" spans="1:7" x14ac:dyDescent="0.3">
      <c r="A133" s="31">
        <v>5</v>
      </c>
      <c r="B133" s="31">
        <f>IF(F51="","",($D$19*F51))</f>
        <v>208515.5</v>
      </c>
      <c r="C133" s="31">
        <f>IF(B133="","",(((($D$19*0.001*B51)/F40)+D29^-1)^-1)*C29*F29- D51)</f>
        <v>1.317507418397625</v>
      </c>
      <c r="D133" s="31"/>
      <c r="E133" s="31">
        <f>IF(B51="","",(($D$19*F51)-F51))</f>
        <v>-10974.5</v>
      </c>
      <c r="F133" s="31"/>
      <c r="G133" s="31" t="str">
        <f t="shared" si="12"/>
        <v/>
      </c>
    </row>
    <row r="134" spans="1:7" x14ac:dyDescent="0.3">
      <c r="A134" s="31">
        <v>6</v>
      </c>
      <c r="B134" s="31"/>
      <c r="C134" s="31">
        <f>IF(B52="","",((((-C133+D52)/(C30*F30))^-1-D30^-1)*F41*1000))</f>
        <v>176.05121073298429</v>
      </c>
      <c r="D134" s="31">
        <f t="shared" ref="D134:D161" si="13">C134</f>
        <v>176.05121073298429</v>
      </c>
      <c r="E134" s="31">
        <f>IF(B52="","",(C134/B52)*F52- F52)</f>
        <v>12780.433917448856</v>
      </c>
      <c r="F134" s="31">
        <f>(E133+E134)</f>
        <v>1805.9339174488559</v>
      </c>
      <c r="G134" s="31" t="str">
        <f t="shared" si="12"/>
        <v/>
      </c>
    </row>
    <row r="135" spans="1:7" x14ac:dyDescent="0.3">
      <c r="A135" s="31"/>
      <c r="B135" s="31"/>
      <c r="C135" s="31"/>
      <c r="D135" s="31"/>
      <c r="E135" s="31"/>
      <c r="F135" s="31"/>
      <c r="G135" s="31" t="str">
        <f t="shared" si="12"/>
        <v/>
      </c>
    </row>
    <row r="136" spans="1:7" x14ac:dyDescent="0.3">
      <c r="A136" s="31">
        <v>5</v>
      </c>
      <c r="B136" s="31">
        <f>$B$133</f>
        <v>208515.5</v>
      </c>
      <c r="C136" s="31">
        <f>$C$133</f>
        <v>1.317507418397625</v>
      </c>
      <c r="D136" s="31"/>
      <c r="E136" s="31">
        <f>$E$133</f>
        <v>-10974.5</v>
      </c>
      <c r="F136" s="31"/>
      <c r="G136" s="31" t="str">
        <f t="shared" si="12"/>
        <v/>
      </c>
    </row>
    <row r="137" spans="1:7" x14ac:dyDescent="0.3">
      <c r="A137" s="31">
        <v>7</v>
      </c>
      <c r="B137" s="31"/>
      <c r="C137" s="31">
        <f>IF(B53="","",((((-C136+D53)/(C31*F31))^-1-D31^-1)*F42*1000))</f>
        <v>90.772696186922118</v>
      </c>
      <c r="D137" s="31">
        <f t="shared" si="13"/>
        <v>90.772696186922118</v>
      </c>
      <c r="E137" s="31">
        <f>IF(B53="","",(C137/B53)*F53- F53)</f>
        <v>16913.460980406264</v>
      </c>
      <c r="F137" s="31">
        <f>(E136+E137)</f>
        <v>5938.9609804062638</v>
      </c>
      <c r="G137" s="31" t="str">
        <f t="shared" si="12"/>
        <v/>
      </c>
    </row>
    <row r="138" spans="1:7" x14ac:dyDescent="0.3">
      <c r="A138" s="31"/>
      <c r="B138" s="31"/>
      <c r="C138" s="31"/>
      <c r="D138" s="31"/>
      <c r="E138" s="31"/>
      <c r="F138" s="31"/>
      <c r="G138" s="31" t="str">
        <f t="shared" si="12"/>
        <v/>
      </c>
    </row>
    <row r="139" spans="1:7" x14ac:dyDescent="0.3">
      <c r="A139" s="31">
        <v>5</v>
      </c>
      <c r="B139" s="31">
        <f>$B$133</f>
        <v>208515.5</v>
      </c>
      <c r="C139" s="31">
        <f>$C$133</f>
        <v>1.317507418397625</v>
      </c>
      <c r="D139" s="31"/>
      <c r="E139" s="31">
        <f>$E$133</f>
        <v>-10974.5</v>
      </c>
      <c r="F139" s="31"/>
      <c r="G139" s="31" t="str">
        <f t="shared" si="12"/>
        <v/>
      </c>
    </row>
    <row r="140" spans="1:7" x14ac:dyDescent="0.3">
      <c r="A140" s="31">
        <v>8</v>
      </c>
      <c r="B140" s="31"/>
      <c r="C140" s="31">
        <f>IF(B54="","",((((-C139+D54)/(C32*F32))^-1-D32^-1)*F43*1000))</f>
        <v>133.13578786534575</v>
      </c>
      <c r="D140" s="31">
        <f t="shared" si="13"/>
        <v>133.13578786534575</v>
      </c>
      <c r="E140" s="31">
        <f>IF(B54="","",(C140/B54)*F54- F54)</f>
        <v>19143.076345295645</v>
      </c>
      <c r="F140" s="31">
        <f>(E139+E140)</f>
        <v>8168.5763452956453</v>
      </c>
      <c r="G140" s="31" t="str">
        <f t="shared" si="12"/>
        <v/>
      </c>
    </row>
    <row r="141" spans="1:7" x14ac:dyDescent="0.3">
      <c r="A141" s="31"/>
      <c r="B141" s="33"/>
      <c r="C141" s="33"/>
      <c r="D141" s="31"/>
      <c r="E141" s="33"/>
      <c r="F141" s="33"/>
      <c r="G141" s="31" t="str">
        <f t="shared" si="12"/>
        <v/>
      </c>
    </row>
    <row r="142" spans="1:7" x14ac:dyDescent="0.3">
      <c r="A142" s="31">
        <v>6</v>
      </c>
      <c r="B142" s="31">
        <f>IF(F52="","",($D$19*F52))</f>
        <v>1029931.1</v>
      </c>
      <c r="C142" s="31">
        <f>IF(B142="","",(((($D$19*0.001*B52)/F41)+D30^-1)^-1)*C30*F30- D52)</f>
        <v>4.0898502495840319</v>
      </c>
      <c r="D142" s="31"/>
      <c r="E142" s="31">
        <f>IF(B52="","",(($D$19*F52)-F52))</f>
        <v>-54206.900000000023</v>
      </c>
      <c r="F142" s="31"/>
      <c r="G142" s="31" t="str">
        <f t="shared" si="12"/>
        <v/>
      </c>
    </row>
    <row r="143" spans="1:7" x14ac:dyDescent="0.3">
      <c r="A143" s="31">
        <v>7</v>
      </c>
      <c r="C143" s="31">
        <f>IF(B53="","",((((-C142+D53)/(C31*F31))^-1-D31^-1)*F42*1000))</f>
        <v>92.357844264380816</v>
      </c>
      <c r="D143" s="31">
        <f t="shared" si="13"/>
        <v>92.357844264380816</v>
      </c>
      <c r="E143" s="31">
        <f>IF(B53="","",(C143/B53)*F53- F53)</f>
        <v>51610.591120335739</v>
      </c>
      <c r="F143" s="35">
        <f>(E142+E143)</f>
        <v>-2596.3088796642842</v>
      </c>
      <c r="G143" s="31">
        <f t="shared" ref="G143" si="14">IF(F143&lt;0,F143,"")</f>
        <v>-2596.3088796642842</v>
      </c>
    </row>
    <row r="144" spans="1:7" x14ac:dyDescent="0.3">
      <c r="A144" s="31"/>
      <c r="B144" s="31"/>
      <c r="C144" s="31"/>
      <c r="D144" s="31"/>
      <c r="E144" s="31"/>
      <c r="F144" s="31"/>
      <c r="G144" s="31" t="str">
        <f t="shared" si="12"/>
        <v/>
      </c>
    </row>
    <row r="145" spans="1:7" x14ac:dyDescent="0.3">
      <c r="A145" s="31">
        <v>6</v>
      </c>
      <c r="B145" s="31">
        <f>$B$142</f>
        <v>1029931.1</v>
      </c>
      <c r="C145" s="31">
        <f>$C$142</f>
        <v>4.0898502495840319</v>
      </c>
      <c r="D145" s="31"/>
      <c r="E145" s="31">
        <f>$E$142</f>
        <v>-54206.900000000023</v>
      </c>
      <c r="F145" s="31"/>
      <c r="G145" s="31" t="str">
        <f t="shared" si="12"/>
        <v/>
      </c>
    </row>
    <row r="146" spans="1:7" x14ac:dyDescent="0.3">
      <c r="A146" s="31">
        <v>8</v>
      </c>
      <c r="B146" s="31"/>
      <c r="C146" s="31">
        <f>IF(B54="","",((((-C145+D54)/(C32*F32))^-1-D32^-1)*F43*1000))</f>
        <v>135.17820150659134</v>
      </c>
      <c r="D146" s="31">
        <f t="shared" si="13"/>
        <v>135.17820150659134</v>
      </c>
      <c r="E146" s="31">
        <f>IF(B54="","",(C146/B54)*F54- F54)</f>
        <v>53566.828751854599</v>
      </c>
      <c r="F146" s="35">
        <f>(E145+E146)</f>
        <v>-640.07124814542476</v>
      </c>
      <c r="G146" s="31">
        <f t="shared" si="12"/>
        <v>-640.07124814542476</v>
      </c>
    </row>
    <row r="147" spans="1:7" x14ac:dyDescent="0.3">
      <c r="A147" s="31"/>
      <c r="B147" s="33"/>
      <c r="C147" s="33"/>
      <c r="D147" s="31"/>
      <c r="E147" s="33"/>
      <c r="F147" s="33"/>
      <c r="G147" s="31" t="str">
        <f t="shared" si="12"/>
        <v/>
      </c>
    </row>
    <row r="148" spans="1:7" x14ac:dyDescent="0.3">
      <c r="A148" s="31">
        <v>7</v>
      </c>
      <c r="B148" s="31">
        <f>IF(F53="","",($D$19*F53))</f>
        <v>1871500</v>
      </c>
      <c r="C148" s="31">
        <f>IF(B148="","",(((($D$19*0.001*B53)/F42)+D31^-1)^-1)*C31*F31- D53)</f>
        <v>8.5483870967741495</v>
      </c>
      <c r="D148" s="31"/>
      <c r="E148" s="31">
        <f>IF(B53="","",(($D$19*F53)-F53))</f>
        <v>-98500</v>
      </c>
      <c r="F148" s="31"/>
      <c r="G148" s="31" t="str">
        <f t="shared" si="12"/>
        <v/>
      </c>
    </row>
    <row r="149" spans="1:7" x14ac:dyDescent="0.3">
      <c r="A149" s="31">
        <v>8</v>
      </c>
      <c r="B149" s="31"/>
      <c r="C149" s="31">
        <f>IF(B54="","",((((-C148+D54)/(C32*F32))^-1-D32^-1)*F43*1000))</f>
        <v>138.5856261464065</v>
      </c>
      <c r="D149" s="31">
        <f t="shared" si="13"/>
        <v>138.5856261464065</v>
      </c>
      <c r="E149" s="31">
        <f>IF(B54="","",(C149/B54)*F54- F54)</f>
        <v>110997.08664685814</v>
      </c>
      <c r="F149" s="31">
        <f>(E148+E149)</f>
        <v>12497.086646858137</v>
      </c>
      <c r="G149" s="31" t="str">
        <f t="shared" si="12"/>
        <v/>
      </c>
    </row>
    <row r="150" spans="1:7" x14ac:dyDescent="0.3">
      <c r="A150" s="34"/>
      <c r="B150" s="34"/>
      <c r="C150" s="34"/>
      <c r="D150" s="31"/>
      <c r="E150" s="34"/>
      <c r="F150" s="34"/>
      <c r="G150" s="31" t="str">
        <f t="shared" si="12"/>
        <v/>
      </c>
    </row>
    <row r="151" spans="1:7" x14ac:dyDescent="0.3">
      <c r="A151" s="31">
        <v>2</v>
      </c>
      <c r="B151" s="31">
        <f>$B$88</f>
        <v>2342518.5499999998</v>
      </c>
      <c r="C151" s="31">
        <f>IF(B151="","",(((($D$19*0.001*B48)/F37)+D26^-1)^-1)*C26*F26- D48)</f>
        <v>10.51716872615458</v>
      </c>
      <c r="D151" s="31"/>
      <c r="E151" s="31">
        <f>IF(B48="","",(($D$19*F48)-F48))</f>
        <v>-123290.45000000019</v>
      </c>
      <c r="F151" s="31"/>
      <c r="G151" s="31" t="str">
        <f t="shared" si="12"/>
        <v/>
      </c>
    </row>
    <row r="152" spans="1:7" x14ac:dyDescent="0.3">
      <c r="A152" s="31">
        <v>1</v>
      </c>
      <c r="B152" s="31"/>
      <c r="C152" s="31">
        <f>IF(B47="","",((((-C151+$D$47)/($C$25*$F$25))^-1-$D$25^-1)*$F$36*1000))</f>
        <v>415.56456281428848</v>
      </c>
      <c r="D152" s="31">
        <f t="shared" si="13"/>
        <v>415.56456281428848</v>
      </c>
      <c r="E152" s="31">
        <f>IF($B$47="","",(C152/$B$47)*$F$47-F$47)</f>
        <v>140066.92573934724</v>
      </c>
      <c r="F152" s="31">
        <f>(E151+E152)</f>
        <v>16776.47573934705</v>
      </c>
      <c r="G152" s="31" t="str">
        <f t="shared" si="12"/>
        <v/>
      </c>
    </row>
    <row r="153" spans="1:7" x14ac:dyDescent="0.3">
      <c r="A153" s="31"/>
      <c r="B153" s="31"/>
      <c r="C153" s="31"/>
      <c r="D153" s="31"/>
      <c r="E153" s="31"/>
      <c r="F153" s="31"/>
      <c r="G153" s="31" t="str">
        <f t="shared" si="12"/>
        <v/>
      </c>
    </row>
    <row r="154" spans="1:7" x14ac:dyDescent="0.3">
      <c r="A154" s="31">
        <v>3</v>
      </c>
      <c r="B154" s="31">
        <f>$B$106</f>
        <v>954242.7</v>
      </c>
      <c r="C154" s="31">
        <f>IF(B154="","",(((($D$19*0.001*B49)/F38)+D27^-1)^-1)*C27*F27- D49)</f>
        <v>4.5046448477919228</v>
      </c>
      <c r="D154" s="31"/>
      <c r="E154" s="31">
        <f>IF(B49="","",(($D$19*F49)-F49))</f>
        <v>-50223.300000000047</v>
      </c>
      <c r="F154" s="31"/>
      <c r="G154" s="31" t="str">
        <f t="shared" si="12"/>
        <v/>
      </c>
    </row>
    <row r="155" spans="1:7" x14ac:dyDescent="0.3">
      <c r="A155" s="31">
        <v>1</v>
      </c>
      <c r="B155" s="31"/>
      <c r="C155" s="31">
        <f>IF(B47="","",((((-C154+$D$47)/($C$25*$F$25))^-1-$D$25^-1)*$F$36*1000))</f>
        <v>393.34964508222345</v>
      </c>
      <c r="D155" s="31">
        <f t="shared" si="13"/>
        <v>393.34964508222345</v>
      </c>
      <c r="E155" s="31">
        <f>IF($B$47="","",(C155/$B$47)*$F$47-F$47)</f>
        <v>57234.197253570426</v>
      </c>
      <c r="F155" s="31">
        <f>(E154+E155)</f>
        <v>7010.8972535703797</v>
      </c>
      <c r="G155" s="31" t="str">
        <f t="shared" si="12"/>
        <v/>
      </c>
    </row>
    <row r="156" spans="1:7" x14ac:dyDescent="0.3">
      <c r="A156" s="31"/>
      <c r="B156" s="31"/>
      <c r="C156" s="31"/>
      <c r="D156" s="31"/>
      <c r="E156" s="31"/>
      <c r="F156" s="31"/>
      <c r="G156" s="31" t="str">
        <f t="shared" si="12"/>
        <v/>
      </c>
    </row>
    <row r="157" spans="1:7" x14ac:dyDescent="0.3">
      <c r="A157" s="31">
        <v>4</v>
      </c>
      <c r="B157" s="31">
        <f>$B$121</f>
        <v>557183.54999999993</v>
      </c>
      <c r="C157" s="31">
        <f>IF(B157="","",(((($D$19*0.001*B50)/F39)+D28^-1)^-1)*C28*F28- D50)</f>
        <v>2.756878744485519</v>
      </c>
      <c r="D157" s="31"/>
      <c r="E157" s="31">
        <f>IF(B50="","",(($D$19*F50)-F50))</f>
        <v>-29325.45000000007</v>
      </c>
      <c r="F157" s="31"/>
      <c r="G157" s="31" t="str">
        <f t="shared" si="12"/>
        <v/>
      </c>
    </row>
    <row r="158" spans="1:7" x14ac:dyDescent="0.3">
      <c r="A158" s="31">
        <v>1</v>
      </c>
      <c r="B158" s="31"/>
      <c r="C158" s="31">
        <f>IF(B47="","",((((-C157+$D$47)/($C$25*$F$25))^-1-$D$25^-1)*$F$36*1000))</f>
        <v>387.29866196093081</v>
      </c>
      <c r="D158" s="31">
        <f t="shared" si="13"/>
        <v>387.29866196093081</v>
      </c>
      <c r="E158" s="31">
        <f>IF($B$47="","",(C158/$B$47)*$F$47-F$47)</f>
        <v>34671.906093941769</v>
      </c>
      <c r="F158" s="31">
        <f>(E157+E158)</f>
        <v>5346.4560939416988</v>
      </c>
      <c r="G158" s="31" t="str">
        <f t="shared" si="12"/>
        <v/>
      </c>
    </row>
    <row r="159" spans="1:7" x14ac:dyDescent="0.3">
      <c r="A159" s="31"/>
      <c r="B159" s="31"/>
      <c r="C159" s="31"/>
      <c r="D159" s="31"/>
      <c r="E159" s="31"/>
      <c r="F159" s="31"/>
      <c r="G159" s="31" t="str">
        <f t="shared" si="12"/>
        <v/>
      </c>
    </row>
    <row r="160" spans="1:7" x14ac:dyDescent="0.3">
      <c r="A160" s="31">
        <v>5</v>
      </c>
      <c r="B160" s="31">
        <f>$B$133</f>
        <v>208515.5</v>
      </c>
      <c r="C160" s="31">
        <f>IF(B160="","",(((($D$19*0.001*B51)/F40)+D29^-1)^-1)*C29*F29- D51)</f>
        <v>1.317507418397625</v>
      </c>
      <c r="D160" s="31"/>
      <c r="E160" s="31">
        <f>IF(B51="","",(($D$19*F51)-F51))</f>
        <v>-10974.5</v>
      </c>
      <c r="F160" s="31"/>
      <c r="G160" s="31" t="str">
        <f t="shared" si="12"/>
        <v/>
      </c>
    </row>
    <row r="161" spans="1:7" x14ac:dyDescent="0.3">
      <c r="A161" s="31">
        <v>1</v>
      </c>
      <c r="B161" s="31"/>
      <c r="C161" s="31">
        <f>IF(B47="","",((((-C160+$D$47)/($C$25*$F$25))^-1-$D$25^-1)*$F$36*1000))</f>
        <v>382.44276262554138</v>
      </c>
      <c r="D161" s="31">
        <f t="shared" si="13"/>
        <v>382.44276262554138</v>
      </c>
      <c r="E161" s="31">
        <f>IF($B$47="","",(C161/$B$47)*$F$47-F$47)</f>
        <v>16565.721949852072</v>
      </c>
      <c r="F161" s="31">
        <f>(E160+E161)</f>
        <v>5591.2219498520717</v>
      </c>
      <c r="G161" s="31" t="str">
        <f t="shared" si="12"/>
        <v/>
      </c>
    </row>
    <row r="162" spans="1:7" x14ac:dyDescent="0.3">
      <c r="A162" s="31"/>
      <c r="B162" s="31"/>
      <c r="C162" s="31"/>
      <c r="D162" s="31"/>
      <c r="E162" s="31"/>
      <c r="F162" s="31"/>
      <c r="G162" s="31" t="str">
        <f t="shared" si="12"/>
        <v/>
      </c>
    </row>
    <row r="163" spans="1:7" x14ac:dyDescent="0.3">
      <c r="A163" s="31">
        <v>6</v>
      </c>
      <c r="B163" s="31">
        <f>$B$142</f>
        <v>1029931.1</v>
      </c>
      <c r="C163" s="31">
        <f>IF(B163="","",(((($D$19*0.001*B52)/F41)+D30^-1)^-1)*C30*F30- D52)</f>
        <v>4.0898502495840319</v>
      </c>
      <c r="D163" s="31"/>
      <c r="E163" s="31">
        <f>IF(B52="","",(($D$19*F52)-F52))</f>
        <v>-54206.900000000023</v>
      </c>
      <c r="F163" s="31"/>
      <c r="G163" s="31" t="str">
        <f t="shared" si="12"/>
        <v/>
      </c>
    </row>
    <row r="164" spans="1:7" x14ac:dyDescent="0.3">
      <c r="A164" s="31">
        <v>1</v>
      </c>
      <c r="B164" s="31"/>
      <c r="C164" s="31">
        <f>IF(B47="","",((((-C163+$D$47)/($C$25*$F$25))^-1-$D$25^-1)*$F$36*1000))</f>
        <v>391.89787265017924</v>
      </c>
      <c r="D164" s="31">
        <f t="shared" ref="D164:D194" si="15">C164</f>
        <v>391.89787265017924</v>
      </c>
      <c r="E164" s="31">
        <f>IF($B$47="","",(C164/$B$47)*$F$47-F$47)</f>
        <v>51820.975690607913</v>
      </c>
      <c r="F164" s="35">
        <f>(E163+E164)</f>
        <v>-2385.9243093921104</v>
      </c>
      <c r="G164" s="31">
        <f t="shared" si="12"/>
        <v>-2385.9243093921104</v>
      </c>
    </row>
    <row r="165" spans="1:7" x14ac:dyDescent="0.3">
      <c r="A165" s="31"/>
      <c r="B165" s="31"/>
      <c r="C165" s="31"/>
      <c r="D165" s="31"/>
      <c r="E165" s="31"/>
      <c r="F165" s="31"/>
      <c r="G165" s="31" t="str">
        <f t="shared" si="12"/>
        <v/>
      </c>
    </row>
    <row r="166" spans="1:7" x14ac:dyDescent="0.3">
      <c r="A166" s="31">
        <v>7</v>
      </c>
      <c r="B166" s="31">
        <f>$B$148</f>
        <v>1871500</v>
      </c>
      <c r="C166" s="31">
        <f>IF(B166="","",(((($D$19*0.001*B53)/F42)+D31^-1)^-1)*C31*F31- D53)</f>
        <v>8.5483870967741495</v>
      </c>
      <c r="D166" s="31"/>
      <c r="E166" s="31">
        <f>IF(B53="","",(($D$19*F53)-F53))</f>
        <v>-98500</v>
      </c>
      <c r="F166" s="31"/>
      <c r="G166" s="31" t="str">
        <f t="shared" si="12"/>
        <v/>
      </c>
    </row>
    <row r="167" spans="1:7" x14ac:dyDescent="0.3">
      <c r="A167" s="31">
        <v>1</v>
      </c>
      <c r="B167" s="31"/>
      <c r="C167" s="31">
        <f>IF(B47="","",((((-C166+$D$47)/($C$25*$F$25))^-1-$D$25^-1)*$F$36*1000))</f>
        <v>408.03991577405458</v>
      </c>
      <c r="D167" s="31">
        <f t="shared" si="15"/>
        <v>408.03991577405458</v>
      </c>
      <c r="E167" s="31">
        <f>IF($B$47="","",(C167/$B$47)*$F$47-F$47)</f>
        <v>112009.78626431129</v>
      </c>
      <c r="F167" s="31">
        <f>(E166+E167)</f>
        <v>13509.786264311289</v>
      </c>
      <c r="G167" s="31" t="str">
        <f t="shared" si="12"/>
        <v/>
      </c>
    </row>
    <row r="168" spans="1:7" x14ac:dyDescent="0.3">
      <c r="A168" s="31"/>
      <c r="B168" s="31"/>
      <c r="C168" s="31"/>
      <c r="D168" s="31"/>
      <c r="E168" s="31"/>
      <c r="F168" s="31"/>
      <c r="G168" s="31" t="str">
        <f t="shared" si="12"/>
        <v/>
      </c>
    </row>
    <row r="169" spans="1:7" x14ac:dyDescent="0.3">
      <c r="A169" s="31">
        <v>8</v>
      </c>
      <c r="B169" s="33">
        <f>IF(B54="","",($D$19*F54))</f>
        <v>2113547.65</v>
      </c>
      <c r="C169" s="31">
        <f>IF(B169="","",(((($D$19*0.001*B54)/F43)+D32^-1)^-1)*C32*F32- D54)</f>
        <v>9.9266055045871155</v>
      </c>
      <c r="D169" s="31"/>
      <c r="E169" s="31">
        <f>IF(B54="","",(($D$19*F54)-F54))</f>
        <v>-111239.35000000009</v>
      </c>
      <c r="F169" s="31"/>
      <c r="G169" s="31" t="str">
        <f t="shared" si="12"/>
        <v/>
      </c>
    </row>
    <row r="170" spans="1:7" x14ac:dyDescent="0.3">
      <c r="A170" s="31">
        <v>1</v>
      </c>
      <c r="B170" s="31"/>
      <c r="C170" s="31">
        <f>IF(B47="","",((((-C169+$D$47)/($C$25*$F$25))^-1-$D$25^-1)*$F$36*1000))</f>
        <v>413.28064074191155</v>
      </c>
      <c r="D170" s="31">
        <f>C170</f>
        <v>413.28064074191155</v>
      </c>
      <c r="E170" s="31">
        <f>IF($B$47="","",(C170/$B$47)*$F$47-F$47)</f>
        <v>131550.86913334858</v>
      </c>
      <c r="F170" s="31">
        <f>(E169+E170)</f>
        <v>20311.519133348484</v>
      </c>
      <c r="G170" s="31" t="str">
        <f t="shared" si="12"/>
        <v/>
      </c>
    </row>
    <row r="171" spans="1:7" x14ac:dyDescent="0.3">
      <c r="A171" s="31"/>
      <c r="B171" s="31"/>
      <c r="C171" s="31"/>
      <c r="D171" s="31"/>
      <c r="E171" s="31"/>
      <c r="F171" s="31"/>
      <c r="G171" s="31" t="str">
        <f t="shared" si="12"/>
        <v/>
      </c>
    </row>
    <row r="172" spans="1:7" x14ac:dyDescent="0.3">
      <c r="A172" s="31">
        <v>3</v>
      </c>
      <c r="B172" s="31">
        <f>$B$106</f>
        <v>954242.7</v>
      </c>
      <c r="C172" s="31">
        <f>$C$154</f>
        <v>4.5046448477919228</v>
      </c>
      <c r="D172" s="31"/>
      <c r="E172" s="31">
        <f>IF(B49="","",(($D$19*F49)-F49))</f>
        <v>-50223.300000000047</v>
      </c>
      <c r="F172" s="31"/>
      <c r="G172" s="31" t="str">
        <f t="shared" si="12"/>
        <v/>
      </c>
    </row>
    <row r="173" spans="1:7" x14ac:dyDescent="0.3">
      <c r="A173" s="31">
        <v>2</v>
      </c>
      <c r="B173" s="31"/>
      <c r="C173" s="31">
        <f>IF(B48="","",((((-C172+$D$48)/($C$26*$F$26))^-1-$D$26^-1)*$F$37*1000))</f>
        <v>271.86773728675263</v>
      </c>
      <c r="D173" s="31">
        <f t="shared" si="15"/>
        <v>271.86773728675263</v>
      </c>
      <c r="E173" s="31">
        <f>IF($B$48="","",(C173/$B$48)*$F$48-$F$48)</f>
        <v>54393.681997406762</v>
      </c>
      <c r="F173" s="31">
        <f>(E172+E173)</f>
        <v>4170.3819974067155</v>
      </c>
      <c r="G173" s="31" t="str">
        <f t="shared" si="12"/>
        <v/>
      </c>
    </row>
    <row r="174" spans="1:7" x14ac:dyDescent="0.3">
      <c r="A174" s="31"/>
      <c r="B174" s="31"/>
      <c r="C174" s="31"/>
      <c r="D174" s="31"/>
      <c r="E174" s="31"/>
      <c r="F174" s="31"/>
      <c r="G174" s="31" t="str">
        <f t="shared" si="12"/>
        <v/>
      </c>
    </row>
    <row r="175" spans="1:7" x14ac:dyDescent="0.3">
      <c r="A175" s="31">
        <v>4</v>
      </c>
      <c r="B175" s="31">
        <f>$B$124</f>
        <v>557183.54999999993</v>
      </c>
      <c r="C175" s="31">
        <f>$C$157</f>
        <v>2.756878744485519</v>
      </c>
      <c r="D175" s="31"/>
      <c r="E175" s="31">
        <f>IF(B50="","",(($D$19*F50)-F50))</f>
        <v>-29325.45000000007</v>
      </c>
      <c r="F175" s="31"/>
      <c r="G175" s="31" t="str">
        <f t="shared" si="12"/>
        <v/>
      </c>
    </row>
    <row r="176" spans="1:7" x14ac:dyDescent="0.3">
      <c r="A176" s="31">
        <v>2</v>
      </c>
      <c r="B176" s="31"/>
      <c r="C176" s="31">
        <f>IF(B48="","",((((-C175+$D$48)/($C$26*$F$26))^-1-$D$26^-1)*$F$37*1000))</f>
        <v>269.50617229966076</v>
      </c>
      <c r="D176" s="31">
        <f t="shared" si="15"/>
        <v>269.50617229966076</v>
      </c>
      <c r="E176" s="31">
        <f>IF($B$48="","",(C176/$B$48)*$F$48-$F$48)</f>
        <v>32502.072225767653</v>
      </c>
      <c r="F176" s="31">
        <f>(E175+E176)</f>
        <v>3176.6222257675836</v>
      </c>
      <c r="G176" s="31" t="str">
        <f t="shared" si="12"/>
        <v/>
      </c>
    </row>
    <row r="177" spans="1:7" x14ac:dyDescent="0.3">
      <c r="A177" s="31"/>
      <c r="B177" s="31"/>
      <c r="C177" s="31"/>
      <c r="D177" s="31"/>
      <c r="E177" s="31"/>
      <c r="F177" s="31"/>
      <c r="G177" s="31" t="str">
        <f t="shared" si="12"/>
        <v/>
      </c>
    </row>
    <row r="178" spans="1:7" x14ac:dyDescent="0.3">
      <c r="A178" s="31">
        <v>5</v>
      </c>
      <c r="B178" s="31">
        <f>$B$160</f>
        <v>208515.5</v>
      </c>
      <c r="C178" s="31">
        <f>$C$139</f>
        <v>1.317507418397625</v>
      </c>
      <c r="D178" s="31"/>
      <c r="E178" s="31">
        <f>IF(B51="","",(($D$19*F51)-F51))</f>
        <v>-10974.5</v>
      </c>
      <c r="F178" s="31"/>
      <c r="G178" s="31" t="str">
        <f t="shared" si="12"/>
        <v/>
      </c>
    </row>
    <row r="179" spans="1:7" x14ac:dyDescent="0.3">
      <c r="A179" s="31">
        <v>2</v>
      </c>
      <c r="B179" s="31"/>
      <c r="C179" s="31">
        <f>IF(B48="","",((((-C178+$D$48)/($C$26*$F$26))^-1-$D$26^-1)*$F$37*1000))</f>
        <v>267.5886520537793</v>
      </c>
      <c r="D179" s="31">
        <f t="shared" si="15"/>
        <v>267.5886520537793</v>
      </c>
      <c r="E179" s="31">
        <f>IF($B$48="","",(C179/$B$48)*$F$48-$F$48)</f>
        <v>14726.738842396531</v>
      </c>
      <c r="F179" s="31">
        <f>(E178+E179)</f>
        <v>3752.2388423965313</v>
      </c>
      <c r="G179" s="31" t="str">
        <f t="shared" si="12"/>
        <v/>
      </c>
    </row>
    <row r="180" spans="1:7" x14ac:dyDescent="0.3">
      <c r="A180" s="31"/>
      <c r="B180" s="31"/>
      <c r="C180" s="31"/>
      <c r="D180" s="31"/>
      <c r="E180" s="31"/>
      <c r="F180" s="31"/>
      <c r="G180" s="31" t="str">
        <f t="shared" si="12"/>
        <v/>
      </c>
    </row>
    <row r="181" spans="1:7" x14ac:dyDescent="0.3">
      <c r="A181" s="31">
        <v>6</v>
      </c>
      <c r="B181" s="31">
        <f>$B$163</f>
        <v>1029931.1</v>
      </c>
      <c r="C181" s="31">
        <f>$C$142</f>
        <v>4.0898502495840319</v>
      </c>
      <c r="D181" s="31"/>
      <c r="E181" s="31">
        <f>IF(B52="","",(($D$19*F52)-F52))</f>
        <v>-54206.900000000023</v>
      </c>
      <c r="F181" s="31"/>
      <c r="G181" s="31" t="str">
        <f t="shared" si="12"/>
        <v/>
      </c>
    </row>
    <row r="182" spans="1:7" x14ac:dyDescent="0.3">
      <c r="A182" s="31">
        <v>2</v>
      </c>
      <c r="B182" s="31"/>
      <c r="C182" s="31">
        <f>IF(B48="","",((((-C181+$D$48)/($C$26*$F$26))^-1-$D$26^-1)*$F$37*1000))</f>
        <v>271.30393421528146</v>
      </c>
      <c r="D182" s="31">
        <f t="shared" si="15"/>
        <v>271.30393421528146</v>
      </c>
      <c r="E182" s="31">
        <f>IF($B$48="","",(C182/$B$48)*$F$48-$F$48)</f>
        <v>49167.25084003387</v>
      </c>
      <c r="F182" s="35">
        <f>(E181+E182)</f>
        <v>-5039.6491599661531</v>
      </c>
      <c r="G182" s="31">
        <f t="shared" si="12"/>
        <v>-5039.6491599661531</v>
      </c>
    </row>
    <row r="183" spans="1:7" x14ac:dyDescent="0.3">
      <c r="A183" s="31"/>
      <c r="B183" s="31"/>
      <c r="C183" s="31"/>
      <c r="D183" s="31"/>
      <c r="E183" s="31"/>
      <c r="F183" s="31"/>
      <c r="G183" s="31" t="str">
        <f t="shared" si="12"/>
        <v/>
      </c>
    </row>
    <row r="184" spans="1:7" x14ac:dyDescent="0.3">
      <c r="A184" s="31">
        <v>7</v>
      </c>
      <c r="B184" s="31">
        <f>$B$166</f>
        <v>1871500</v>
      </c>
      <c r="C184" s="31">
        <f>$C$166</f>
        <v>8.5483870967741495</v>
      </c>
      <c r="D184" s="31"/>
      <c r="E184" s="31">
        <f>IF(B53="","",(($D$19*F53)-F53))</f>
        <v>-98500</v>
      </c>
      <c r="F184" s="31"/>
      <c r="G184" s="31" t="str">
        <f t="shared" si="12"/>
        <v/>
      </c>
    </row>
    <row r="185" spans="1:7" x14ac:dyDescent="0.3">
      <c r="A185" s="31">
        <v>2</v>
      </c>
      <c r="B185" s="31"/>
      <c r="C185" s="31">
        <f>IF(B48="","",((((-C184+$D$48)/($C$26*$F$26))^-1-$D$26^-1)*$F$37*1000))</f>
        <v>277.47579938966084</v>
      </c>
      <c r="D185" s="31">
        <f t="shared" si="15"/>
        <v>277.47579938966084</v>
      </c>
      <c r="E185" s="31">
        <f>IF($B$48="","",(C185/$B$48)*$F$48-$F$48)</f>
        <v>106380.18577902345</v>
      </c>
      <c r="F185" s="31">
        <f>(E184+E185)</f>
        <v>7880.1857790234499</v>
      </c>
      <c r="G185" s="31" t="str">
        <f t="shared" si="12"/>
        <v/>
      </c>
    </row>
    <row r="186" spans="1:7" x14ac:dyDescent="0.3">
      <c r="A186" s="31"/>
      <c r="B186" s="31"/>
      <c r="C186" s="31"/>
      <c r="D186" s="31"/>
      <c r="E186" s="31"/>
      <c r="F186" s="31"/>
      <c r="G186" s="31" t="str">
        <f t="shared" si="12"/>
        <v/>
      </c>
    </row>
    <row r="187" spans="1:7" x14ac:dyDescent="0.3">
      <c r="A187" s="31">
        <v>8</v>
      </c>
      <c r="B187" s="33">
        <f>$B$169</f>
        <v>2113547.65</v>
      </c>
      <c r="C187" s="31">
        <f>$C$169</f>
        <v>9.9266055045871155</v>
      </c>
      <c r="D187" s="31"/>
      <c r="E187" s="31">
        <f>IF(B54="","",(($D$19*F54)-F54))</f>
        <v>-111239.35000000009</v>
      </c>
      <c r="F187" s="31"/>
      <c r="G187" s="31" t="str">
        <f t="shared" si="12"/>
        <v/>
      </c>
    </row>
    <row r="188" spans="1:7" x14ac:dyDescent="0.3">
      <c r="A188" s="31">
        <v>2</v>
      </c>
      <c r="B188" s="31"/>
      <c r="C188" s="31">
        <f>IF(B48="","",((((-C187+$D$48)/($C$26*$F$26))^-1-$D$26^-1)*$F$37*1000))</f>
        <v>279.43470365935644</v>
      </c>
      <c r="D188" s="31">
        <f t="shared" si="15"/>
        <v>279.43470365935644</v>
      </c>
      <c r="E188" s="31">
        <f>IF($B$48="","",(C188/$B$48)*$F$48-$F$48)</f>
        <v>124539.1473517823</v>
      </c>
      <c r="F188" s="31">
        <f>(E187+E188)</f>
        <v>13299.79735178221</v>
      </c>
      <c r="G188" s="31" t="str">
        <f t="shared" si="12"/>
        <v/>
      </c>
    </row>
    <row r="189" spans="1:7" x14ac:dyDescent="0.3">
      <c r="A189" s="31"/>
      <c r="B189" s="31"/>
      <c r="C189" s="31"/>
      <c r="D189" s="31"/>
      <c r="E189" s="31"/>
      <c r="F189" s="31"/>
      <c r="G189" s="31" t="str">
        <f t="shared" si="12"/>
        <v/>
      </c>
    </row>
    <row r="190" spans="1:7" x14ac:dyDescent="0.3">
      <c r="A190" s="31">
        <v>4</v>
      </c>
      <c r="B190" s="31">
        <f>$B$175</f>
        <v>557183.54999999993</v>
      </c>
      <c r="C190" s="31">
        <f>(((($D$19*0.001*B50)/F39)+D28^-1)^-1)*C28*F28- D50</f>
        <v>2.756878744485519</v>
      </c>
      <c r="D190" s="31"/>
      <c r="E190" s="31">
        <f>IF(B50="","",(($D$19*F50)-F50))</f>
        <v>-29325.45000000007</v>
      </c>
      <c r="F190" s="31"/>
      <c r="G190" s="31" t="str">
        <f t="shared" si="12"/>
        <v/>
      </c>
    </row>
    <row r="191" spans="1:7" x14ac:dyDescent="0.3">
      <c r="A191" s="31">
        <v>3</v>
      </c>
      <c r="B191" s="31"/>
      <c r="C191" s="31">
        <f>IF(B49="","",((((-C190+$D$49)/($C$27*$F$27))^-1-$D$27^-1)*$F$38*1000))</f>
        <v>278.15469996207628</v>
      </c>
      <c r="D191" s="31">
        <f t="shared" si="15"/>
        <v>278.15469996207628</v>
      </c>
      <c r="E191" s="31">
        <f>IF($B$49="","",(C191/$B$49)*$F$49-$F$49)</f>
        <v>30337.477230025572</v>
      </c>
      <c r="F191" s="31">
        <f>(E190+E191)</f>
        <v>1012.0272300255019</v>
      </c>
      <c r="G191" s="31" t="str">
        <f t="shared" si="12"/>
        <v/>
      </c>
    </row>
    <row r="192" spans="1:7" x14ac:dyDescent="0.3">
      <c r="A192" s="31"/>
      <c r="B192" s="31"/>
      <c r="C192" s="31"/>
      <c r="D192" s="31"/>
      <c r="E192" s="31"/>
      <c r="F192" s="31"/>
      <c r="G192" s="31" t="str">
        <f t="shared" si="12"/>
        <v/>
      </c>
    </row>
    <row r="193" spans="1:7" x14ac:dyDescent="0.3">
      <c r="A193" s="31">
        <v>5</v>
      </c>
      <c r="B193" s="31">
        <f>$B$178</f>
        <v>208515.5</v>
      </c>
      <c r="C193" s="31">
        <f>(((($D$19*0.001*B51)/F40)+D29^-1)^-1)*C29*F29- D51</f>
        <v>1.317507418397625</v>
      </c>
      <c r="D193" s="31"/>
      <c r="E193" s="31">
        <f>IF(B51="","",(($D$19*F51)-F51))</f>
        <v>-10974.5</v>
      </c>
      <c r="F193" s="31"/>
      <c r="G193" s="31" t="str">
        <f t="shared" si="12"/>
        <v/>
      </c>
    </row>
    <row r="194" spans="1:7" x14ac:dyDescent="0.3">
      <c r="A194" s="31">
        <v>3</v>
      </c>
      <c r="B194" s="31"/>
      <c r="C194" s="31">
        <f>IF(B49="","",((((-C193+$D$49)/($C$27*$F$27))^-1-$D$27^-1)*$F$38*1000))</f>
        <v>273.5897485690669</v>
      </c>
      <c r="D194" s="31">
        <f t="shared" si="15"/>
        <v>273.5897485690669</v>
      </c>
      <c r="E194" s="31">
        <f>IF($B$49="","",(C194/$B$49)*$F$49-$F$49)</f>
        <v>13354.742171023623</v>
      </c>
      <c r="F194" s="31">
        <f>(E193+E194)</f>
        <v>2380.2421710236231</v>
      </c>
      <c r="G194" s="31" t="str">
        <f t="shared" si="12"/>
        <v/>
      </c>
    </row>
    <row r="195" spans="1:7" x14ac:dyDescent="0.3">
      <c r="A195" s="31"/>
      <c r="B195" s="31"/>
      <c r="C195" s="31"/>
      <c r="D195" s="31"/>
      <c r="E195" s="31"/>
      <c r="F195" s="31"/>
      <c r="G195" s="31" t="str">
        <f t="shared" si="12"/>
        <v/>
      </c>
    </row>
    <row r="196" spans="1:7" x14ac:dyDescent="0.3">
      <c r="A196" s="31">
        <v>6</v>
      </c>
      <c r="B196" s="31">
        <f>$B$181</f>
        <v>1029931.1</v>
      </c>
      <c r="C196" s="31">
        <f>(((($D$19*0.001*B52)/F41)+D30^-1)^-1)*C30*F30- D52</f>
        <v>4.0898502495840319</v>
      </c>
      <c r="D196" s="31"/>
      <c r="E196" s="31">
        <f>IF(B52="","",(($D$19*F52)-F52))</f>
        <v>-54206.900000000023</v>
      </c>
      <c r="F196" s="31"/>
      <c r="G196" s="31" t="str">
        <f t="shared" ref="G196:G233" si="16">IF(F196&lt;0,F196,"")</f>
        <v/>
      </c>
    </row>
    <row r="197" spans="1:7" x14ac:dyDescent="0.3">
      <c r="A197" s="31">
        <v>3</v>
      </c>
      <c r="B197" s="31"/>
      <c r="C197" s="31">
        <f>IF(B49="","",((((-C196+$D$49)/($C$27*$F$27))^-1-$D$27^-1)*$F$38*1000))</f>
        <v>282.51402494763596</v>
      </c>
      <c r="D197" s="31">
        <f t="shared" ref="D197:D227" si="17">C197</f>
        <v>282.51402494763596</v>
      </c>
      <c r="E197" s="31">
        <f>IF($B$49="","",(C197/$B$49)*$F$49-$F$49)</f>
        <v>46555.231789081823</v>
      </c>
      <c r="F197" s="35">
        <f>(E196+E197)</f>
        <v>-7651.6682109182002</v>
      </c>
      <c r="G197" s="31">
        <f t="shared" si="16"/>
        <v>-7651.6682109182002</v>
      </c>
    </row>
    <row r="198" spans="1:7" x14ac:dyDescent="0.3">
      <c r="A198" s="31"/>
      <c r="B198" s="31"/>
      <c r="C198" s="31"/>
      <c r="D198" s="31"/>
      <c r="E198" s="31"/>
      <c r="F198" s="31"/>
      <c r="G198" s="31" t="str">
        <f t="shared" si="16"/>
        <v/>
      </c>
    </row>
    <row r="199" spans="1:7" x14ac:dyDescent="0.3">
      <c r="A199" s="31">
        <v>7</v>
      </c>
      <c r="B199" s="31">
        <f>$B$184</f>
        <v>1871500</v>
      </c>
      <c r="C199" s="31">
        <f>$C$166</f>
        <v>8.5483870967741495</v>
      </c>
      <c r="D199" s="31"/>
      <c r="E199" s="31">
        <f>IF(B53="","",(($D$19*F53)-F53))</f>
        <v>-98500</v>
      </c>
      <c r="F199" s="31"/>
      <c r="G199" s="31" t="str">
        <f t="shared" si="16"/>
        <v/>
      </c>
    </row>
    <row r="200" spans="1:7" x14ac:dyDescent="0.3">
      <c r="A200" s="31">
        <v>3</v>
      </c>
      <c r="B200" s="31"/>
      <c r="C200" s="31">
        <f>IF(B49="","",((((-C199+$D$49)/($C$27*$F$27))^-1-$D$27^-1)*$F$38*1000))</f>
        <v>298.09508138919892</v>
      </c>
      <c r="D200" s="31">
        <f t="shared" si="17"/>
        <v>298.09508138919892</v>
      </c>
      <c r="E200" s="31">
        <f>IF($B$49="","",(C200/$B$49)*$F$49-$F$49)</f>
        <v>104520.57045438187</v>
      </c>
      <c r="F200" s="31">
        <f>(E199+E200)</f>
        <v>6020.570454381872</v>
      </c>
      <c r="G200" s="31" t="str">
        <f t="shared" si="16"/>
        <v/>
      </c>
    </row>
    <row r="201" spans="1:7" x14ac:dyDescent="0.3">
      <c r="A201" s="31"/>
      <c r="B201" s="31"/>
      <c r="C201" s="31"/>
      <c r="D201" s="31"/>
      <c r="E201" s="31"/>
      <c r="F201" s="31"/>
      <c r="G201" s="31" t="str">
        <f t="shared" si="16"/>
        <v/>
      </c>
    </row>
    <row r="202" spans="1:7" x14ac:dyDescent="0.3">
      <c r="A202" s="31">
        <v>8</v>
      </c>
      <c r="B202" s="33">
        <f>$B$169</f>
        <v>2113547.65</v>
      </c>
      <c r="C202" s="31">
        <f>$C$187</f>
        <v>9.9266055045871155</v>
      </c>
      <c r="D202" s="31"/>
      <c r="E202" s="31">
        <f>IF(B54="","",(($D$19*F54)-F54))</f>
        <v>-111239.35000000009</v>
      </c>
      <c r="F202" s="31"/>
      <c r="G202" s="31" t="str">
        <f t="shared" si="16"/>
        <v/>
      </c>
    </row>
    <row r="203" spans="1:7" x14ac:dyDescent="0.3">
      <c r="A203" s="31">
        <v>3</v>
      </c>
      <c r="B203" s="31"/>
      <c r="C203" s="31">
        <f>IF(B49="","",((((-C202+$D$49)/($C$27*$F$27))^-1-$D$27^-1)*$F$38*1000))</f>
        <v>303.2498831924562</v>
      </c>
      <c r="D203" s="31">
        <f t="shared" si="17"/>
        <v>303.2498831924562</v>
      </c>
      <c r="E203" s="31">
        <f>IF($B$49="","",(C203/$B$49)*$F$49-$F$49)</f>
        <v>123697.69322516187</v>
      </c>
      <c r="F203" s="31">
        <f>(E202+E203)</f>
        <v>12458.343225161778</v>
      </c>
      <c r="G203" s="31" t="str">
        <f t="shared" si="16"/>
        <v/>
      </c>
    </row>
    <row r="204" spans="1:7" x14ac:dyDescent="0.3">
      <c r="A204" s="31"/>
      <c r="B204" s="31"/>
      <c r="C204" s="31"/>
      <c r="D204" s="31"/>
      <c r="E204" s="31"/>
      <c r="F204" s="31"/>
      <c r="G204" s="31" t="str">
        <f t="shared" si="16"/>
        <v/>
      </c>
    </row>
    <row r="205" spans="1:7" x14ac:dyDescent="0.3">
      <c r="A205" s="31">
        <v>5</v>
      </c>
      <c r="B205" s="31">
        <f>$B$193</f>
        <v>208515.5</v>
      </c>
      <c r="C205" s="31">
        <f>$C$178</f>
        <v>1.317507418397625</v>
      </c>
      <c r="D205" s="31"/>
      <c r="E205" s="31">
        <f>IF(B51="","",(($D$19*F51)-F51))</f>
        <v>-10974.5</v>
      </c>
      <c r="F205" s="31"/>
      <c r="G205" s="31" t="str">
        <f t="shared" si="16"/>
        <v/>
      </c>
    </row>
    <row r="206" spans="1:7" x14ac:dyDescent="0.3">
      <c r="A206" s="31">
        <v>4</v>
      </c>
      <c r="B206" s="31"/>
      <c r="C206" s="31">
        <f>IF(B50="","",((((-C205+$D$50)/($C$28*$F$28))^-1-$D$28^-1)*$F$39*1000))</f>
        <v>103.64304290322789</v>
      </c>
      <c r="D206" s="31">
        <f t="shared" si="17"/>
        <v>103.64304290322789</v>
      </c>
      <c r="E206" s="31">
        <f>IF($B$50="","",(C206/$B$50)*$F$50-$F$50)</f>
        <v>15348.202476527658</v>
      </c>
      <c r="F206" s="31">
        <f>(E205+E206)</f>
        <v>4373.7024765276583</v>
      </c>
      <c r="G206" s="31" t="str">
        <f t="shared" si="16"/>
        <v/>
      </c>
    </row>
    <row r="207" spans="1:7" x14ac:dyDescent="0.3">
      <c r="A207" s="31"/>
      <c r="B207" s="31"/>
      <c r="C207" s="31"/>
      <c r="D207" s="31"/>
      <c r="E207" s="31"/>
      <c r="F207" s="31"/>
      <c r="G207" s="31" t="str">
        <f t="shared" si="16"/>
        <v/>
      </c>
    </row>
    <row r="208" spans="1:7" x14ac:dyDescent="0.3">
      <c r="A208" s="31">
        <v>6</v>
      </c>
      <c r="B208" s="31">
        <f>$B$196</f>
        <v>1029931.1</v>
      </c>
      <c r="C208" s="31">
        <f>$C$181</f>
        <v>4.0898502495840319</v>
      </c>
      <c r="D208" s="31"/>
      <c r="E208" s="31">
        <f>IF(B52="","",(($D$19*F52)-F52))</f>
        <v>-54206.900000000023</v>
      </c>
      <c r="F208" s="31"/>
      <c r="G208" s="31" t="str">
        <f t="shared" si="16"/>
        <v/>
      </c>
    </row>
    <row r="209" spans="1:7" x14ac:dyDescent="0.3">
      <c r="A209" s="31">
        <v>4</v>
      </c>
      <c r="B209" s="31"/>
      <c r="C209" s="31">
        <f>IF(B50="","",((((-C208+$D$50)/($C$28*$F$28))^-1-$D$28^-1)*$F$39*1000))</f>
        <v>109.54244254433588</v>
      </c>
      <c r="D209" s="31">
        <f t="shared" si="17"/>
        <v>109.54244254433588</v>
      </c>
      <c r="E209" s="31">
        <f>IF($B$50="","",(C209/$B$50)*$F$50-$F$50)</f>
        <v>49606.133012236562</v>
      </c>
      <c r="F209" s="35">
        <f>(E208+E209)</f>
        <v>-4600.7669877634617</v>
      </c>
      <c r="G209" s="31">
        <f t="shared" si="16"/>
        <v>-4600.7669877634617</v>
      </c>
    </row>
    <row r="210" spans="1:7" x14ac:dyDescent="0.3">
      <c r="A210" s="31"/>
      <c r="B210" s="31"/>
      <c r="C210" s="31"/>
      <c r="D210" s="31"/>
      <c r="E210" s="31"/>
      <c r="F210" s="31"/>
      <c r="G210" s="31" t="str">
        <f t="shared" si="16"/>
        <v/>
      </c>
    </row>
    <row r="211" spans="1:7" x14ac:dyDescent="0.3">
      <c r="A211" s="31">
        <v>7</v>
      </c>
      <c r="B211" s="31">
        <f>$B$199</f>
        <v>1871500</v>
      </c>
      <c r="C211" s="31">
        <f>$C$199</f>
        <v>8.5483870967741495</v>
      </c>
      <c r="D211" s="31"/>
      <c r="E211" s="31">
        <f>IF(B53="","",(($D$19*F53)-F53))</f>
        <v>-98500</v>
      </c>
      <c r="F211" s="31"/>
      <c r="G211" s="31" t="str">
        <f t="shared" si="16"/>
        <v/>
      </c>
    </row>
    <row r="212" spans="1:7" x14ac:dyDescent="0.3">
      <c r="A212" s="31">
        <v>4</v>
      </c>
      <c r="B212" s="31"/>
      <c r="C212" s="31">
        <f>IF(B50="","",((((-C211+$D$50)/($C$28*$F$28))^-1-$D$28^-1)*$F$39*1000))</f>
        <v>120.41725364457493</v>
      </c>
      <c r="D212" s="31">
        <f t="shared" si="17"/>
        <v>120.41725364457493</v>
      </c>
      <c r="E212" s="31">
        <f>IF($B$50="","",(C212/$B$50)*$F$50-$F$50)</f>
        <v>112756.37641411868</v>
      </c>
      <c r="F212" s="31">
        <f>(E211+E212)</f>
        <v>14256.376414118684</v>
      </c>
      <c r="G212" s="31" t="str">
        <f t="shared" si="16"/>
        <v/>
      </c>
    </row>
    <row r="213" spans="1:7" x14ac:dyDescent="0.3">
      <c r="A213" s="31"/>
      <c r="B213" s="31"/>
      <c r="C213" s="31"/>
      <c r="D213" s="31"/>
      <c r="E213" s="31"/>
      <c r="F213" s="31"/>
      <c r="G213" s="31" t="str">
        <f t="shared" si="16"/>
        <v/>
      </c>
    </row>
    <row r="214" spans="1:7" x14ac:dyDescent="0.3">
      <c r="A214" s="31">
        <v>8</v>
      </c>
      <c r="B214" s="33">
        <f>$B$169</f>
        <v>2113547.65</v>
      </c>
      <c r="C214" s="31">
        <f>$C$202</f>
        <v>9.9266055045871155</v>
      </c>
      <c r="D214" s="31"/>
      <c r="E214" s="31">
        <f>IF(B54="","",(($D$19*F54)-F54))</f>
        <v>-111239.35000000009</v>
      </c>
      <c r="F214" s="31"/>
      <c r="G214" s="31" t="str">
        <f t="shared" si="16"/>
        <v/>
      </c>
    </row>
    <row r="215" spans="1:7" x14ac:dyDescent="0.3">
      <c r="A215" s="31">
        <v>4</v>
      </c>
      <c r="B215" s="31"/>
      <c r="C215" s="31">
        <f>IF(B50="","",((((-C214+$D$50)/($C$28*$F$28))^-1-$D$28^-1)*$F$39*1000))</f>
        <v>124.18700891414069</v>
      </c>
      <c r="D215" s="31">
        <f t="shared" si="17"/>
        <v>124.18700891414069</v>
      </c>
      <c r="E215" s="31">
        <f>IF($B$50="","",(C215/$B$50)*$F$50-$F$50)</f>
        <v>134647.41991310637</v>
      </c>
      <c r="F215" s="31">
        <f>(E214+E215)</f>
        <v>23408.069913106272</v>
      </c>
      <c r="G215" s="31" t="str">
        <f t="shared" si="16"/>
        <v/>
      </c>
    </row>
    <row r="216" spans="1:7" x14ac:dyDescent="0.3">
      <c r="A216" s="31"/>
      <c r="B216" s="31"/>
      <c r="C216" s="31"/>
      <c r="D216" s="31"/>
      <c r="E216" s="31"/>
      <c r="F216" s="31"/>
      <c r="G216" s="31" t="str">
        <f t="shared" si="16"/>
        <v/>
      </c>
    </row>
    <row r="217" spans="1:7" x14ac:dyDescent="0.3">
      <c r="A217" s="31">
        <v>6</v>
      </c>
      <c r="B217" s="31">
        <f>$B$196</f>
        <v>1029931.1</v>
      </c>
      <c r="C217" s="31">
        <f>$C$196</f>
        <v>4.0898502495840319</v>
      </c>
      <c r="D217" s="31"/>
      <c r="E217" s="31">
        <f>IF(B52="","",(($D$19*F52)-F52))</f>
        <v>-54206.900000000023</v>
      </c>
      <c r="F217" s="31"/>
      <c r="G217" s="31" t="str">
        <f t="shared" si="16"/>
        <v/>
      </c>
    </row>
    <row r="218" spans="1:7" x14ac:dyDescent="0.3">
      <c r="A218" s="31">
        <v>5</v>
      </c>
      <c r="B218" s="31"/>
      <c r="C218" s="31">
        <f>IF(B51="","",((((-C217+$D$51)/($C$29*$F$29))^-1-$D$29^-1)*$F$40*1000))</f>
        <v>236.43049384825713</v>
      </c>
      <c r="D218" s="31">
        <f t="shared" si="17"/>
        <v>236.43049384825713</v>
      </c>
      <c r="E218" s="31">
        <f>IF($B$51="","",(C218/$B$51)*$F$51-$F$51)</f>
        <v>77047.880541451217</v>
      </c>
      <c r="F218" s="31">
        <f>(E217+E218)</f>
        <v>22840.980541451194</v>
      </c>
      <c r="G218" s="31" t="str">
        <f t="shared" si="16"/>
        <v/>
      </c>
    </row>
    <row r="219" spans="1:7" x14ac:dyDescent="0.3">
      <c r="A219" s="31"/>
      <c r="B219" s="31"/>
      <c r="C219" s="31"/>
      <c r="D219" s="31"/>
      <c r="E219" s="31"/>
      <c r="F219" s="31"/>
      <c r="G219" s="31" t="str">
        <f t="shared" si="16"/>
        <v/>
      </c>
    </row>
    <row r="220" spans="1:7" x14ac:dyDescent="0.3">
      <c r="A220" s="31">
        <v>7</v>
      </c>
      <c r="B220" s="31">
        <f>$B$199</f>
        <v>1871500</v>
      </c>
      <c r="C220" s="31">
        <f>$C$211</f>
        <v>8.5483870967741495</v>
      </c>
      <c r="D220" s="31"/>
      <c r="E220" s="31">
        <f>IF(B53="","",(($D$19*F53)-F53))</f>
        <v>-98500</v>
      </c>
      <c r="F220" s="31"/>
      <c r="G220" s="31" t="str">
        <f t="shared" si="16"/>
        <v/>
      </c>
    </row>
    <row r="221" spans="1:7" x14ac:dyDescent="0.3">
      <c r="A221" s="31">
        <v>5</v>
      </c>
      <c r="B221" s="31"/>
      <c r="C221" s="31">
        <f>IF(B51="","",((((-C220+$D$51)/($C$29*$F$29))^-1-$D$29^-1)*$F$40*1000))</f>
        <v>354.69892735250926</v>
      </c>
      <c r="D221" s="31">
        <f t="shared" si="17"/>
        <v>354.69892735250926</v>
      </c>
      <c r="E221" s="31">
        <f>IF($B$51="","",(C221/$B$51)*$F$51-$F$51)</f>
        <v>225383.52894058434</v>
      </c>
      <c r="F221" s="31">
        <f>(E220+E221)</f>
        <v>126883.52894058434</v>
      </c>
      <c r="G221" s="31" t="str">
        <f t="shared" si="16"/>
        <v/>
      </c>
    </row>
    <row r="222" spans="1:7" x14ac:dyDescent="0.3">
      <c r="A222" s="31"/>
      <c r="B222" s="31"/>
      <c r="C222" s="31"/>
      <c r="D222" s="31"/>
      <c r="E222" s="31"/>
      <c r="F222" s="31"/>
      <c r="G222" s="31" t="str">
        <f t="shared" si="16"/>
        <v/>
      </c>
    </row>
    <row r="223" spans="1:7" x14ac:dyDescent="0.3">
      <c r="A223" s="31">
        <v>8</v>
      </c>
      <c r="B223" s="33">
        <f>$B$169</f>
        <v>2113547.65</v>
      </c>
      <c r="C223" s="31">
        <f>$C$214</f>
        <v>9.9266055045871155</v>
      </c>
      <c r="D223" s="31"/>
      <c r="E223" s="31">
        <f>IF(B54="","",(($D$19*F54)-F54))</f>
        <v>-111239.35000000009</v>
      </c>
      <c r="F223" s="31"/>
      <c r="G223" s="31" t="str">
        <f t="shared" si="16"/>
        <v/>
      </c>
    </row>
    <row r="224" spans="1:7" x14ac:dyDescent="0.3">
      <c r="A224" s="31">
        <v>5</v>
      </c>
      <c r="B224" s="31"/>
      <c r="C224" s="31">
        <f>IF(B51="","",((((-C223+$D$51)/($C$29*$F$29))^-1-$D$29^-1)*$F$40*1000))</f>
        <v>417.68871753246532</v>
      </c>
      <c r="D224" s="31">
        <f t="shared" si="17"/>
        <v>417.68871753246532</v>
      </c>
      <c r="E224" s="31">
        <f>IF($B$51="","",(C224/$B$51)*$F$51-$F$51)</f>
        <v>304387.12349257612</v>
      </c>
      <c r="F224" s="31">
        <f>(E223+E224)</f>
        <v>193147.77349257603</v>
      </c>
      <c r="G224" s="31" t="str">
        <f t="shared" si="16"/>
        <v/>
      </c>
    </row>
    <row r="225" spans="1:8" x14ac:dyDescent="0.3">
      <c r="A225" s="31"/>
      <c r="B225" s="31"/>
      <c r="C225" s="31"/>
      <c r="D225" s="31"/>
      <c r="E225" s="31"/>
      <c r="F225" s="31"/>
      <c r="G225" s="31" t="str">
        <f t="shared" si="16"/>
        <v/>
      </c>
    </row>
    <row r="226" spans="1:8" x14ac:dyDescent="0.3">
      <c r="A226" s="31">
        <v>7</v>
      </c>
      <c r="B226" s="31">
        <f>$B$220</f>
        <v>1871500</v>
      </c>
      <c r="C226" s="31">
        <f>$C$211</f>
        <v>8.5483870967741495</v>
      </c>
      <c r="D226" s="31"/>
      <c r="E226" s="31">
        <f>(($D$19*F53)-F53)</f>
        <v>-98500</v>
      </c>
      <c r="F226" s="31"/>
      <c r="G226" s="31" t="str">
        <f t="shared" si="16"/>
        <v/>
      </c>
    </row>
    <row r="227" spans="1:8" x14ac:dyDescent="0.3">
      <c r="A227" s="31">
        <v>6</v>
      </c>
      <c r="B227" s="31"/>
      <c r="C227" s="31">
        <f>IF(B52="","",((((-C226+$D$52)/($C$30*$F$30))^-1-$D$30^-1)*$F$41*1000))</f>
        <v>192.60533436412823</v>
      </c>
      <c r="D227" s="31">
        <f t="shared" si="17"/>
        <v>192.60533436412823</v>
      </c>
      <c r="E227" s="31">
        <f>IF($B$52="","",(C227/$B$52)*$F$52-$F$52)</f>
        <v>115923.85049917945</v>
      </c>
      <c r="F227" s="31">
        <f>(E226+E227)</f>
        <v>17423.850499179447</v>
      </c>
      <c r="G227" s="31" t="str">
        <f t="shared" si="16"/>
        <v/>
      </c>
    </row>
    <row r="228" spans="1:8" x14ac:dyDescent="0.3">
      <c r="A228" s="31"/>
      <c r="B228" s="31"/>
      <c r="C228" s="31"/>
      <c r="D228" s="31"/>
      <c r="E228" s="31"/>
      <c r="F228" s="31"/>
      <c r="G228" s="31" t="str">
        <f t="shared" si="16"/>
        <v/>
      </c>
    </row>
    <row r="229" spans="1:8" x14ac:dyDescent="0.3">
      <c r="A229" s="31">
        <v>8</v>
      </c>
      <c r="B229" s="33">
        <f>$B$169</f>
        <v>2113547.65</v>
      </c>
      <c r="C229" s="31">
        <f>$C$214</f>
        <v>9.9266055045871155</v>
      </c>
      <c r="D229" s="31"/>
      <c r="E229" s="31">
        <f>(($D$19*F54)-F54)</f>
        <v>-111239.35000000009</v>
      </c>
      <c r="F229" s="31"/>
      <c r="G229" s="31" t="str">
        <f t="shared" si="16"/>
        <v/>
      </c>
    </row>
    <row r="230" spans="1:8" x14ac:dyDescent="0.3">
      <c r="A230" s="31">
        <v>6</v>
      </c>
      <c r="B230" s="31"/>
      <c r="C230" s="31">
        <f>IF(B52="","",((((-C229+$D$52)/($C$30*$F$30))^-1-$D$30^-1)*$F$41*1000))</f>
        <v>196.09154929577454</v>
      </c>
      <c r="D230" s="31">
        <f t="shared" ref="D230:D233" si="18">C230</f>
        <v>196.09154929577454</v>
      </c>
      <c r="E230" s="31">
        <f>(IF(B52="","",C230/B52)*F52-F52)</f>
        <v>137645.33373805974</v>
      </c>
      <c r="F230" s="31">
        <f>(E229+E230)</f>
        <v>26405.983738059644</v>
      </c>
      <c r="G230" s="31" t="str">
        <f t="shared" si="16"/>
        <v/>
      </c>
    </row>
    <row r="231" spans="1:8" x14ac:dyDescent="0.3">
      <c r="A231" s="31"/>
      <c r="B231" s="31"/>
      <c r="C231" s="31"/>
      <c r="D231" s="31"/>
      <c r="E231" s="31"/>
      <c r="F231" s="31"/>
      <c r="G231" s="31" t="str">
        <f t="shared" si="16"/>
        <v/>
      </c>
    </row>
    <row r="232" spans="1:8" x14ac:dyDescent="0.3">
      <c r="A232" s="31">
        <v>8</v>
      </c>
      <c r="B232" s="33">
        <f>$B$169</f>
        <v>2113547.65</v>
      </c>
      <c r="C232" s="31">
        <f>$C$214</f>
        <v>9.9266055045871155</v>
      </c>
      <c r="D232" s="31"/>
      <c r="E232" s="31">
        <f>(($D$19*F54)-F54)</f>
        <v>-111239.35000000009</v>
      </c>
      <c r="F232" s="31"/>
      <c r="G232" s="31" t="str">
        <f t="shared" si="16"/>
        <v/>
      </c>
    </row>
    <row r="233" spans="1:8" x14ac:dyDescent="0.3">
      <c r="A233" s="31">
        <v>7</v>
      </c>
      <c r="B233" s="31"/>
      <c r="C233" s="31">
        <f>IF(B53="","",((((-C232+$D$53)/($C$31*$F$31))^-1-$D$31^-1)*$F$42*1000))</f>
        <v>95.85924644971962</v>
      </c>
      <c r="D233" s="31">
        <f t="shared" si="18"/>
        <v>95.85924644971962</v>
      </c>
      <c r="E233" s="31">
        <f>IF(B53="","",(C233/B53)*F53-F53)</f>
        <v>128252.39451052947</v>
      </c>
      <c r="F233" s="31">
        <f>(E232+E233)</f>
        <v>17013.044510529377</v>
      </c>
      <c r="G233" s="31" t="str">
        <f t="shared" si="16"/>
        <v/>
      </c>
    </row>
    <row r="234" spans="1:8" x14ac:dyDescent="0.3">
      <c r="B234" s="31"/>
      <c r="C234" s="18"/>
      <c r="D234" s="31"/>
      <c r="E234" s="31"/>
      <c r="F234" s="31"/>
      <c r="G234" s="31" t="str">
        <f t="shared" ref="G234:G236" si="19">IF(F234&lt;0,F234,"")</f>
        <v/>
      </c>
    </row>
    <row r="235" spans="1:8" x14ac:dyDescent="0.3">
      <c r="B235" s="31"/>
      <c r="C235" s="18"/>
      <c r="E235" s="31"/>
      <c r="F235" s="31"/>
      <c r="G235" s="31" t="str">
        <f t="shared" si="19"/>
        <v/>
      </c>
    </row>
    <row r="236" spans="1:8" x14ac:dyDescent="0.3">
      <c r="B236" s="31"/>
      <c r="C236" s="18"/>
      <c r="E236" s="31"/>
      <c r="F236" s="31"/>
      <c r="G236" s="31" t="str">
        <f t="shared" si="19"/>
        <v/>
      </c>
    </row>
    <row r="237" spans="1:8" x14ac:dyDescent="0.3">
      <c r="B237" s="31"/>
      <c r="C237" s="36" t="s">
        <v>66</v>
      </c>
      <c r="D237" s="31">
        <f>MIN(D68:D233)</f>
        <v>90.772696186922118</v>
      </c>
      <c r="E237" s="36" t="s">
        <v>68</v>
      </c>
      <c r="F237" s="31">
        <f>SUM(F68:F233)+G237</f>
        <v>1049761.0903207238</v>
      </c>
      <c r="G237" s="31">
        <f>SUM(G68:G233)</f>
        <v>-22914.388795849634</v>
      </c>
      <c r="H237" s="18" t="s">
        <v>67</v>
      </c>
    </row>
    <row r="238" spans="1:8" x14ac:dyDescent="0.3">
      <c r="B238" s="31"/>
      <c r="C238" s="18"/>
      <c r="E238" s="31"/>
      <c r="F238" s="31"/>
    </row>
    <row r="239" spans="1:8" x14ac:dyDescent="0.3">
      <c r="B239" s="31"/>
      <c r="E239" s="36" t="s">
        <v>70</v>
      </c>
      <c r="F239" s="31">
        <f>COUNT(F68:F233)-G239</f>
        <v>50</v>
      </c>
      <c r="G239" s="31">
        <f>COUNT(G68:G233)</f>
        <v>6</v>
      </c>
      <c r="H239" s="18" t="s">
        <v>69</v>
      </c>
    </row>
    <row r="240" spans="1:8" x14ac:dyDescent="0.3">
      <c r="B240" s="31"/>
      <c r="C240" s="18"/>
      <c r="E240" s="31"/>
      <c r="F240" s="31"/>
    </row>
    <row r="241" spans="2:8" x14ac:dyDescent="0.3">
      <c r="B241" s="31"/>
      <c r="C241" s="18"/>
      <c r="E241" s="36" t="s">
        <v>71</v>
      </c>
      <c r="F241" s="31">
        <f>(F237/F239)</f>
        <v>20995.221806414476</v>
      </c>
      <c r="G241" s="31">
        <f>(G237/G239)</f>
        <v>-3819.0647993082725</v>
      </c>
      <c r="H241" s="18" t="s">
        <v>72</v>
      </c>
    </row>
    <row r="242" spans="2:8" x14ac:dyDescent="0.3">
      <c r="B242" s="31"/>
      <c r="C242" s="18"/>
      <c r="E242" s="18"/>
      <c r="F242" s="18"/>
    </row>
    <row r="243" spans="2:8" x14ac:dyDescent="0.3">
      <c r="B243" s="31"/>
      <c r="C243" s="18"/>
      <c r="F243" s="36" t="s">
        <v>73</v>
      </c>
      <c r="G243" s="31">
        <f>ABS(G241/F241)</f>
        <v>0.18190161716421918</v>
      </c>
      <c r="H243" s="31" t="s">
        <v>74</v>
      </c>
    </row>
    <row r="244" spans="2:8" x14ac:dyDescent="0.3">
      <c r="B244" s="31"/>
    </row>
    <row r="245" spans="2:8" x14ac:dyDescent="0.3">
      <c r="B245" s="31"/>
    </row>
    <row r="246" spans="2:8" x14ac:dyDescent="0.3">
      <c r="B246" s="31"/>
    </row>
    <row r="247" spans="2:8" x14ac:dyDescent="0.3">
      <c r="B247" s="31"/>
    </row>
    <row r="248" spans="2:8" x14ac:dyDescent="0.3">
      <c r="B248" s="31"/>
    </row>
  </sheetData>
  <mergeCells count="5">
    <mergeCell ref="E20:F20"/>
    <mergeCell ref="C7:D7"/>
    <mergeCell ref="E1:F1"/>
    <mergeCell ref="E13:F13"/>
    <mergeCell ref="E15:F1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EB957-E834-4817-B5A2-7E708D4E586D}">
  <dimension ref="A1"/>
  <sheetViews>
    <sheetView tabSelected="1" topLeftCell="A24" workbookViewId="0">
      <selection activeCell="J70" sqref="J70"/>
    </sheetView>
  </sheetViews>
  <sheetFormatPr baseColWidth="10" defaultRowHeight="14.4" x14ac:dyDescent="0.3"/>
  <cols>
    <col min="8" max="8" width="3" customWidth="1"/>
  </cols>
  <sheetData/>
  <sheetProtection algorithmName="SHA-512" hashValue="dltk0KWgw7u4osiZzdVMYaNGyXwVLG77EHtrlwgX4ap3tX7p8lLuC7mBa5Q6jzXB1xz8LUjuVjSRZZ2Lr4kDXg==" saltValue="wWyoGxd9AehMuCywvtyDNw==" spinCount="100000" sheet="1" objects="1" scenarios="1"/>
  <pageMargins left="0.70866141732283472" right="0.70866141732283472"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3372-154C-4A92-BE8D-D5066613DBCC}">
  <dimension ref="A1:S255"/>
  <sheetViews>
    <sheetView topLeftCell="A40" workbookViewId="0">
      <selection activeCell="B47" sqref="B47:E54"/>
    </sheetView>
  </sheetViews>
  <sheetFormatPr baseColWidth="10" defaultRowHeight="14.4" x14ac:dyDescent="0.3"/>
  <cols>
    <col min="1" max="1" width="18.77734375" style="95" customWidth="1"/>
    <col min="2" max="2" width="28.6640625" style="95" customWidth="1"/>
    <col min="3" max="3" width="38.5546875" style="95" customWidth="1"/>
    <col min="4" max="4" width="28.33203125" style="95" customWidth="1"/>
    <col min="5" max="5" width="72" style="95" customWidth="1"/>
    <col min="6" max="6" width="31.6640625" style="95" customWidth="1"/>
    <col min="7" max="7" width="25" style="95" customWidth="1"/>
    <col min="8" max="8" width="17.33203125" style="95" customWidth="1"/>
    <col min="9" max="16384" width="11.5546875" style="95"/>
  </cols>
  <sheetData>
    <row r="1" spans="1:6" ht="23.4" x14ac:dyDescent="0.45">
      <c r="A1" s="91" t="s">
        <v>0</v>
      </c>
      <c r="B1" s="92"/>
      <c r="C1" s="92"/>
      <c r="D1" s="92"/>
      <c r="E1" s="93"/>
      <c r="F1" s="94"/>
    </row>
    <row r="3" spans="1:6" ht="15" thickBot="1" x14ac:dyDescent="0.35"/>
    <row r="4" spans="1:6" ht="15" thickTop="1" x14ac:dyDescent="0.3">
      <c r="A4" s="96" t="s">
        <v>26</v>
      </c>
      <c r="B4" s="92"/>
      <c r="C4" s="92"/>
      <c r="D4" s="92"/>
      <c r="E4" s="97"/>
      <c r="F4" s="98"/>
    </row>
    <row r="5" spans="1:6" x14ac:dyDescent="0.3">
      <c r="E5" s="99"/>
      <c r="F5" s="100"/>
    </row>
    <row r="6" spans="1:6" x14ac:dyDescent="0.3">
      <c r="A6" s="101" t="s">
        <v>14</v>
      </c>
      <c r="B6" s="102"/>
      <c r="C6" s="102"/>
      <c r="D6" s="103"/>
      <c r="E6" s="99"/>
      <c r="F6" s="100"/>
    </row>
    <row r="7" spans="1:6" x14ac:dyDescent="0.3">
      <c r="A7" s="104" t="s">
        <v>1</v>
      </c>
      <c r="B7" s="104"/>
      <c r="C7" s="80" t="s">
        <v>76</v>
      </c>
      <c r="D7" s="81"/>
      <c r="E7" s="105" t="s">
        <v>77</v>
      </c>
      <c r="F7" s="106"/>
    </row>
    <row r="8" spans="1:6" ht="14.4" customHeight="1" x14ac:dyDescent="0.3">
      <c r="A8" s="104"/>
      <c r="B8" s="104"/>
      <c r="C8" s="104"/>
      <c r="D8" s="107"/>
      <c r="E8" s="108"/>
      <c r="F8" s="109"/>
    </row>
    <row r="9" spans="1:6" x14ac:dyDescent="0.3">
      <c r="A9" s="104" t="s">
        <v>4</v>
      </c>
      <c r="B9" s="104"/>
      <c r="C9" s="104"/>
      <c r="D9" s="40">
        <v>75</v>
      </c>
      <c r="E9" s="110"/>
      <c r="F9" s="111"/>
    </row>
    <row r="10" spans="1:6" x14ac:dyDescent="0.3">
      <c r="A10" s="104"/>
      <c r="B10" s="104"/>
      <c r="C10" s="104"/>
      <c r="D10" s="107"/>
      <c r="E10" s="99"/>
      <c r="F10" s="100"/>
    </row>
    <row r="11" spans="1:6" x14ac:dyDescent="0.3">
      <c r="A11" s="104" t="s">
        <v>81</v>
      </c>
      <c r="B11" s="104"/>
      <c r="C11" s="104"/>
      <c r="D11" s="40">
        <v>2.5</v>
      </c>
      <c r="E11" s="112"/>
      <c r="F11" s="113"/>
    </row>
    <row r="12" spans="1:6" x14ac:dyDescent="0.3">
      <c r="A12" s="104"/>
      <c r="B12" s="104"/>
      <c r="C12" s="104"/>
      <c r="D12" s="107"/>
      <c r="E12" s="105" t="str">
        <f>IF(AND(D237&gt;0,ABS(G237/F58)&lt;=0.2),"OPTIMIERUNG OK!","OPTIMIERUNG ODER ÜBERTRAG UNSICHER, ERHÖHE R-FAKTOR K AUF MAX. 0,95!")</f>
        <v>OPTIMIERUNG OK!</v>
      </c>
      <c r="F12" s="114"/>
    </row>
    <row r="13" spans="1:6" ht="14.4" customHeight="1" x14ac:dyDescent="0.3">
      <c r="A13" s="104" t="s">
        <v>7</v>
      </c>
      <c r="B13" s="104"/>
      <c r="C13" s="104"/>
      <c r="D13" s="40">
        <v>0</v>
      </c>
      <c r="E13" s="115"/>
      <c r="F13" s="116"/>
    </row>
    <row r="14" spans="1:6" ht="14.4" customHeight="1" x14ac:dyDescent="0.3">
      <c r="A14" s="104"/>
      <c r="B14" s="104"/>
      <c r="C14" s="104"/>
      <c r="D14" s="107"/>
      <c r="E14" s="115"/>
      <c r="F14" s="116"/>
    </row>
    <row r="15" spans="1:6" ht="14.4" customHeight="1" x14ac:dyDescent="0.3">
      <c r="A15" s="104" t="s">
        <v>6</v>
      </c>
      <c r="B15" s="104"/>
      <c r="C15" s="104"/>
      <c r="D15" s="40">
        <v>0.14699999999999999</v>
      </c>
      <c r="E15" s="117"/>
      <c r="F15" s="118"/>
    </row>
    <row r="16" spans="1:6" x14ac:dyDescent="0.3">
      <c r="A16" s="104"/>
      <c r="B16" s="104"/>
      <c r="C16" s="104"/>
      <c r="D16" s="107"/>
      <c r="E16" s="117"/>
      <c r="F16" s="118"/>
    </row>
    <row r="17" spans="1:6" x14ac:dyDescent="0.3">
      <c r="A17" s="104" t="s">
        <v>2</v>
      </c>
      <c r="B17" s="119"/>
      <c r="C17" s="119"/>
      <c r="D17" s="40" t="s">
        <v>8</v>
      </c>
      <c r="E17" s="120"/>
      <c r="F17" s="121"/>
    </row>
    <row r="18" spans="1:6" x14ac:dyDescent="0.3">
      <c r="A18" s="102"/>
      <c r="B18" s="102"/>
      <c r="C18" s="102"/>
      <c r="D18" s="103"/>
      <c r="E18" s="117"/>
      <c r="F18" s="118"/>
    </row>
    <row r="19" spans="1:6" ht="15" thickBot="1" x14ac:dyDescent="0.35">
      <c r="B19" s="102"/>
      <c r="C19" s="122" t="s">
        <v>30</v>
      </c>
      <c r="D19" s="41">
        <v>0.95</v>
      </c>
      <c r="E19" s="123"/>
      <c r="F19" s="124"/>
    </row>
    <row r="20" spans="1:6" ht="15" thickTop="1" x14ac:dyDescent="0.3">
      <c r="A20" s="102"/>
      <c r="B20" s="102"/>
      <c r="C20" s="102"/>
      <c r="D20" s="103"/>
    </row>
    <row r="21" spans="1:6" x14ac:dyDescent="0.3">
      <c r="A21" s="125"/>
      <c r="B21" s="125"/>
      <c r="C21" s="125"/>
      <c r="D21" s="126"/>
    </row>
    <row r="22" spans="1:6" x14ac:dyDescent="0.3">
      <c r="A22" s="102"/>
      <c r="B22" s="102"/>
      <c r="C22" s="102"/>
      <c r="D22" s="127"/>
    </row>
    <row r="23" spans="1:6" x14ac:dyDescent="0.3">
      <c r="A23" s="101" t="s">
        <v>15</v>
      </c>
      <c r="B23" s="102"/>
      <c r="C23" s="102"/>
      <c r="D23" s="103"/>
    </row>
    <row r="24" spans="1:6" x14ac:dyDescent="0.3">
      <c r="A24" s="128" t="s">
        <v>28</v>
      </c>
      <c r="B24" s="128" t="s">
        <v>9</v>
      </c>
      <c r="C24" s="128" t="s">
        <v>10</v>
      </c>
      <c r="D24" s="128" t="s">
        <v>11</v>
      </c>
      <c r="E24" s="129" t="s">
        <v>12</v>
      </c>
      <c r="F24" s="129" t="s">
        <v>13</v>
      </c>
    </row>
    <row r="25" spans="1:6" x14ac:dyDescent="0.3">
      <c r="A25" s="119">
        <v>1</v>
      </c>
      <c r="B25" s="39" t="s">
        <v>35</v>
      </c>
      <c r="C25" s="39">
        <v>1440</v>
      </c>
      <c r="D25" s="39">
        <v>1.08</v>
      </c>
      <c r="E25" s="39">
        <v>0.4</v>
      </c>
      <c r="F25" s="39">
        <v>1</v>
      </c>
    </row>
    <row r="26" spans="1:6" x14ac:dyDescent="0.3">
      <c r="A26" s="119">
        <v>2</v>
      </c>
      <c r="B26" s="39" t="s">
        <v>36</v>
      </c>
      <c r="C26" s="39">
        <v>1790</v>
      </c>
      <c r="D26" s="39">
        <v>1.17</v>
      </c>
      <c r="E26" s="39">
        <v>0.4</v>
      </c>
      <c r="F26" s="39">
        <v>1</v>
      </c>
    </row>
    <row r="27" spans="1:6" x14ac:dyDescent="0.3">
      <c r="A27" s="119">
        <v>3</v>
      </c>
      <c r="B27" s="39" t="s">
        <v>51</v>
      </c>
      <c r="C27" s="39">
        <v>640</v>
      </c>
      <c r="D27" s="39">
        <v>3.25</v>
      </c>
      <c r="E27" s="39">
        <v>0.4</v>
      </c>
      <c r="F27" s="39">
        <v>1</v>
      </c>
    </row>
    <row r="28" spans="1:6" x14ac:dyDescent="0.3">
      <c r="A28" s="119">
        <v>4</v>
      </c>
      <c r="B28" s="39" t="s">
        <v>52</v>
      </c>
      <c r="C28" s="39">
        <v>255</v>
      </c>
      <c r="D28" s="39">
        <v>3.07</v>
      </c>
      <c r="E28" s="39">
        <v>0.6</v>
      </c>
      <c r="F28" s="39">
        <v>0.75</v>
      </c>
    </row>
    <row r="29" spans="1:6" x14ac:dyDescent="0.3">
      <c r="A29" s="119">
        <v>5</v>
      </c>
      <c r="B29" s="39" t="s">
        <v>53</v>
      </c>
      <c r="C29" s="39">
        <v>155</v>
      </c>
      <c r="D29" s="39">
        <v>2.1</v>
      </c>
      <c r="E29" s="39">
        <v>0.6</v>
      </c>
      <c r="F29" s="39">
        <v>0.75</v>
      </c>
    </row>
    <row r="30" spans="1:6" x14ac:dyDescent="0.3">
      <c r="A30" s="119">
        <v>6</v>
      </c>
      <c r="B30" s="39" t="s">
        <v>54</v>
      </c>
      <c r="C30" s="39">
        <v>770</v>
      </c>
      <c r="D30" s="39">
        <v>2</v>
      </c>
      <c r="E30" s="39">
        <v>0.6</v>
      </c>
      <c r="F30" s="39">
        <v>0.75</v>
      </c>
    </row>
    <row r="31" spans="1:6" x14ac:dyDescent="0.3">
      <c r="A31" s="119">
        <v>7</v>
      </c>
      <c r="B31" s="39" t="s">
        <v>55</v>
      </c>
      <c r="C31" s="39">
        <v>1000</v>
      </c>
      <c r="D31" s="39">
        <v>3</v>
      </c>
      <c r="E31" s="39">
        <v>0.6</v>
      </c>
      <c r="F31" s="39">
        <v>0.5</v>
      </c>
    </row>
    <row r="32" spans="1:6" x14ac:dyDescent="0.3">
      <c r="A32" s="119">
        <v>8</v>
      </c>
      <c r="B32" s="39" t="s">
        <v>56</v>
      </c>
      <c r="C32" s="39">
        <v>770</v>
      </c>
      <c r="D32" s="39">
        <v>3</v>
      </c>
      <c r="E32" s="39">
        <v>0.6</v>
      </c>
      <c r="F32" s="39">
        <v>1</v>
      </c>
    </row>
    <row r="34" spans="1:14" x14ac:dyDescent="0.3">
      <c r="A34" s="130" t="s">
        <v>16</v>
      </c>
    </row>
    <row r="35" spans="1:14" x14ac:dyDescent="0.3">
      <c r="A35" s="128" t="s">
        <v>28</v>
      </c>
      <c r="B35" s="128" t="s">
        <v>9</v>
      </c>
      <c r="C35" s="128" t="s">
        <v>17</v>
      </c>
      <c r="D35" s="128" t="s">
        <v>18</v>
      </c>
      <c r="E35" s="128" t="s">
        <v>19</v>
      </c>
      <c r="F35" s="128" t="s">
        <v>20</v>
      </c>
      <c r="G35" s="128" t="s">
        <v>42</v>
      </c>
      <c r="H35" s="128" t="s">
        <v>43</v>
      </c>
      <c r="I35" s="131"/>
    </row>
    <row r="36" spans="1:14" x14ac:dyDescent="0.3">
      <c r="A36" s="119">
        <v>1</v>
      </c>
      <c r="B36" s="132" t="str">
        <f t="shared" ref="B36:B42" si="0">B25</f>
        <v>Aussenwände</v>
      </c>
      <c r="C36" s="39" t="s">
        <v>37</v>
      </c>
      <c r="D36" s="39">
        <v>40</v>
      </c>
      <c r="E36" s="39">
        <v>78400</v>
      </c>
      <c r="F36" s="39">
        <v>3.5999999999999997E-2</v>
      </c>
      <c r="G36" s="39">
        <v>50</v>
      </c>
      <c r="H36" s="39">
        <v>0</v>
      </c>
    </row>
    <row r="37" spans="1:14" x14ac:dyDescent="0.3">
      <c r="A37" s="119">
        <v>2</v>
      </c>
      <c r="B37" s="132" t="str">
        <f t="shared" si="0"/>
        <v>Steildach</v>
      </c>
      <c r="C37" s="39" t="s">
        <v>37</v>
      </c>
      <c r="D37" s="39">
        <v>80</v>
      </c>
      <c r="E37" s="39">
        <v>156800</v>
      </c>
      <c r="F37" s="39">
        <v>3.7999999999999999E-2</v>
      </c>
      <c r="G37" s="39">
        <v>50</v>
      </c>
      <c r="H37" s="39">
        <v>0</v>
      </c>
    </row>
    <row r="38" spans="1:14" x14ac:dyDescent="0.3">
      <c r="A38" s="119">
        <v>3</v>
      </c>
      <c r="B38" s="132" t="str">
        <f t="shared" si="0"/>
        <v>Flachdach</v>
      </c>
      <c r="C38" s="39" t="s">
        <v>57</v>
      </c>
      <c r="D38" s="39">
        <v>100</v>
      </c>
      <c r="E38" s="39">
        <v>176000</v>
      </c>
      <c r="F38" s="39">
        <v>4.1000000000000002E-2</v>
      </c>
      <c r="G38" s="39">
        <v>50</v>
      </c>
      <c r="H38" s="39">
        <v>0</v>
      </c>
    </row>
    <row r="39" spans="1:14" x14ac:dyDescent="0.3">
      <c r="A39" s="119">
        <v>4</v>
      </c>
      <c r="B39" s="132" t="str">
        <f t="shared" si="0"/>
        <v>Wände g. Erdreich</v>
      </c>
      <c r="C39" s="39" t="s">
        <v>58</v>
      </c>
      <c r="D39" s="39">
        <v>35</v>
      </c>
      <c r="E39" s="39">
        <v>689500</v>
      </c>
      <c r="F39" s="39">
        <v>3.4000000000000002E-2</v>
      </c>
      <c r="G39" s="39">
        <v>50</v>
      </c>
      <c r="H39" s="39">
        <v>0</v>
      </c>
    </row>
    <row r="40" spans="1:14" x14ac:dyDescent="0.3">
      <c r="A40" s="119">
        <v>5</v>
      </c>
      <c r="B40" s="132" t="str">
        <f t="shared" si="0"/>
        <v>Wände g. Keller</v>
      </c>
      <c r="C40" s="39" t="s">
        <v>59</v>
      </c>
      <c r="D40" s="39">
        <v>25</v>
      </c>
      <c r="E40" s="39">
        <v>245000</v>
      </c>
      <c r="F40" s="39">
        <v>0.03</v>
      </c>
      <c r="G40" s="39">
        <v>50</v>
      </c>
      <c r="H40" s="39">
        <v>0</v>
      </c>
    </row>
    <row r="41" spans="1:14" x14ac:dyDescent="0.3">
      <c r="A41" s="119">
        <v>6</v>
      </c>
      <c r="B41" s="132" t="str">
        <f t="shared" si="0"/>
        <v>Decke g. Keller</v>
      </c>
      <c r="C41" s="39" t="s">
        <v>59</v>
      </c>
      <c r="D41" s="39">
        <v>25</v>
      </c>
      <c r="E41" s="39">
        <v>245000</v>
      </c>
      <c r="F41" s="39">
        <v>0.03</v>
      </c>
      <c r="G41" s="39">
        <v>50</v>
      </c>
      <c r="H41" s="39">
        <v>0</v>
      </c>
    </row>
    <row r="42" spans="1:14" x14ac:dyDescent="0.3">
      <c r="A42" s="119">
        <v>7</v>
      </c>
      <c r="B42" s="132" t="str">
        <f t="shared" si="0"/>
        <v>Boden g. Erde o. BH</v>
      </c>
      <c r="C42" s="39" t="s">
        <v>58</v>
      </c>
      <c r="D42" s="39">
        <v>40</v>
      </c>
      <c r="E42" s="39">
        <v>788000</v>
      </c>
      <c r="F42" s="39">
        <v>3.7999999999999999E-2</v>
      </c>
      <c r="G42" s="39">
        <v>75</v>
      </c>
      <c r="H42" s="39">
        <v>0</v>
      </c>
    </row>
    <row r="43" spans="1:14" x14ac:dyDescent="0.3">
      <c r="A43" s="119">
        <v>8</v>
      </c>
      <c r="B43" s="132" t="str">
        <f>$B$32</f>
        <v>Boden g. Erde m. BH</v>
      </c>
      <c r="C43" s="39" t="s">
        <v>58</v>
      </c>
      <c r="D43" s="39">
        <v>40</v>
      </c>
      <c r="E43" s="39">
        <v>788000</v>
      </c>
      <c r="F43" s="39">
        <v>3.7999999999999999E-2</v>
      </c>
      <c r="G43" s="39">
        <v>75</v>
      </c>
      <c r="H43" s="39">
        <v>0</v>
      </c>
      <c r="I43" s="133"/>
    </row>
    <row r="44" spans="1:14" x14ac:dyDescent="0.3">
      <c r="A44" s="133"/>
      <c r="B44" s="133"/>
      <c r="C44" s="133"/>
      <c r="D44" s="133"/>
      <c r="E44" s="133"/>
      <c r="F44" s="133"/>
      <c r="G44" s="133"/>
      <c r="H44" s="133"/>
      <c r="I44" s="133"/>
    </row>
    <row r="45" spans="1:14" x14ac:dyDescent="0.3">
      <c r="A45" s="130" t="s">
        <v>21</v>
      </c>
      <c r="B45" s="134"/>
      <c r="C45" s="134"/>
      <c r="D45" s="134"/>
      <c r="E45" s="134"/>
      <c r="F45" s="134"/>
      <c r="I45" s="133"/>
    </row>
    <row r="46" spans="1:14" x14ac:dyDescent="0.3">
      <c r="A46" s="128" t="s">
        <v>28</v>
      </c>
      <c r="B46" s="128" t="s">
        <v>25</v>
      </c>
      <c r="C46" s="128" t="s">
        <v>22</v>
      </c>
      <c r="D46" s="128" t="s">
        <v>23</v>
      </c>
      <c r="E46" s="128" t="s">
        <v>24</v>
      </c>
      <c r="F46" s="128" t="s">
        <v>38</v>
      </c>
      <c r="G46" s="135" t="s">
        <v>39</v>
      </c>
      <c r="H46" s="135" t="s">
        <v>40</v>
      </c>
      <c r="I46" s="136" t="s">
        <v>41</v>
      </c>
      <c r="J46" s="137" t="s">
        <v>44</v>
      </c>
      <c r="K46" s="137" t="s">
        <v>45</v>
      </c>
      <c r="L46" s="137" t="s">
        <v>46</v>
      </c>
      <c r="M46" s="137" t="s">
        <v>47</v>
      </c>
      <c r="N46" s="133"/>
    </row>
    <row r="47" spans="1:14" x14ac:dyDescent="0.3">
      <c r="A47" s="119">
        <v>1</v>
      </c>
      <c r="B47" s="39">
        <v>378</v>
      </c>
      <c r="C47" s="39">
        <v>8.7999999999999995E-2</v>
      </c>
      <c r="D47" s="39">
        <v>126</v>
      </c>
      <c r="E47" s="39">
        <v>1185408</v>
      </c>
      <c r="F47" s="132">
        <f>(IF(G47="","",ROUND((E47*G47),0)))</f>
        <v>1409448</v>
      </c>
      <c r="G47" s="133">
        <f>IF(B25="","",(J47*K47)*(L47*M47)^-1)</f>
        <v>1.18899830219345</v>
      </c>
      <c r="H47" s="133">
        <f>LN(1+$D$11/100)</f>
        <v>2.4692612590371414E-2</v>
      </c>
      <c r="I47" s="133">
        <f>LN(1+$D$13/100)</f>
        <v>0</v>
      </c>
      <c r="J47" s="133">
        <f>(1+H36*2.71828183^-((H47-I47)*G36))</f>
        <v>1</v>
      </c>
      <c r="K47" s="133">
        <f>(2.71828183^((H47-I47)*$D$9)-1)</f>
        <v>5.3722074328757863</v>
      </c>
      <c r="L47" s="133">
        <f>(2.71828183^((H47-I47)*($D$9-G36)))</f>
        <v>1.8539440989709344</v>
      </c>
      <c r="M47" s="133">
        <f>(2.71828183^((H47-I47)*G36)-1)</f>
        <v>2.4371087221091492</v>
      </c>
      <c r="N47" s="133"/>
    </row>
    <row r="48" spans="1:14" x14ac:dyDescent="0.3">
      <c r="A48" s="119">
        <v>2</v>
      </c>
      <c r="B48" s="39">
        <v>266</v>
      </c>
      <c r="C48" s="39">
        <v>0.127</v>
      </c>
      <c r="D48" s="39">
        <v>228</v>
      </c>
      <c r="E48" s="39">
        <v>2073854</v>
      </c>
      <c r="F48" s="132">
        <f t="shared" ref="F48:F54" si="1">(IF(G48="","",ROUND((E48*G48),0)))</f>
        <v>2465809</v>
      </c>
      <c r="G48" s="133">
        <f t="shared" ref="G48:G54" si="2">IF(B26="","",(J48*K48)*(L48*M48)^-1)</f>
        <v>1.18899830219345</v>
      </c>
      <c r="H48" s="133">
        <f t="shared" ref="H48:H54" si="3">LN(1+$D$11/100)</f>
        <v>2.4692612590371414E-2</v>
      </c>
      <c r="I48" s="133">
        <f t="shared" ref="I48:I54" si="4">LN(1+$D$13/100)</f>
        <v>0</v>
      </c>
      <c r="J48" s="133">
        <f t="shared" ref="J48:J54" si="5">(1+H37*2.71828183^-((H48-I48)*G37))</f>
        <v>1</v>
      </c>
      <c r="K48" s="133">
        <f t="shared" ref="K48:K54" si="6">(2.71828183^((H48-I48)*$D$9)-1)</f>
        <v>5.3722074328757863</v>
      </c>
      <c r="L48" s="133">
        <f t="shared" ref="L48:L54" si="7">(2.71828183^((H48-I48)*($D$9-G37)))</f>
        <v>1.8539440989709344</v>
      </c>
      <c r="M48" s="133">
        <f t="shared" ref="M48:M54" si="8">(2.71828183^((H48-I48)*G37)-1)</f>
        <v>2.4371087221091492</v>
      </c>
      <c r="N48" s="133"/>
    </row>
    <row r="49" spans="1:18" x14ac:dyDescent="0.3">
      <c r="A49" s="119">
        <v>3</v>
      </c>
      <c r="B49" s="39">
        <v>270</v>
      </c>
      <c r="C49" s="39">
        <v>0.14499999999999999</v>
      </c>
      <c r="D49" s="39">
        <v>93</v>
      </c>
      <c r="E49" s="39">
        <v>844800</v>
      </c>
      <c r="F49" s="132">
        <f t="shared" si="1"/>
        <v>1004466</v>
      </c>
      <c r="G49" s="133">
        <f t="shared" si="2"/>
        <v>1.18899830219345</v>
      </c>
      <c r="H49" s="133">
        <f t="shared" si="3"/>
        <v>2.4692612590371414E-2</v>
      </c>
      <c r="I49" s="133">
        <f t="shared" si="4"/>
        <v>0</v>
      </c>
      <c r="J49" s="133">
        <f t="shared" si="5"/>
        <v>1</v>
      </c>
      <c r="K49" s="133">
        <f t="shared" si="6"/>
        <v>5.3722074328757863</v>
      </c>
      <c r="L49" s="133">
        <f t="shared" si="7"/>
        <v>1.8539440989709344</v>
      </c>
      <c r="M49" s="133">
        <f t="shared" si="8"/>
        <v>2.4371087221091492</v>
      </c>
      <c r="N49" s="133"/>
    </row>
    <row r="50" spans="1:18" x14ac:dyDescent="0.3">
      <c r="A50" s="119">
        <v>4</v>
      </c>
      <c r="B50" s="39">
        <v>101</v>
      </c>
      <c r="C50" s="39">
        <v>0.30299999999999999</v>
      </c>
      <c r="D50" s="39">
        <v>58</v>
      </c>
      <c r="E50" s="39">
        <v>493280</v>
      </c>
      <c r="F50" s="132">
        <f t="shared" si="1"/>
        <v>586509</v>
      </c>
      <c r="G50" s="133">
        <f t="shared" si="2"/>
        <v>1.18899830219345</v>
      </c>
      <c r="H50" s="133">
        <f t="shared" si="3"/>
        <v>2.4692612590371414E-2</v>
      </c>
      <c r="I50" s="133">
        <f t="shared" si="4"/>
        <v>0</v>
      </c>
      <c r="J50" s="133">
        <f t="shared" si="5"/>
        <v>1</v>
      </c>
      <c r="K50" s="133">
        <f t="shared" si="6"/>
        <v>5.3722074328757863</v>
      </c>
      <c r="L50" s="133">
        <f t="shared" si="7"/>
        <v>1.8539440989709344</v>
      </c>
      <c r="M50" s="133">
        <f t="shared" si="8"/>
        <v>2.4371087221091492</v>
      </c>
      <c r="N50" s="133"/>
    </row>
    <row r="51" spans="1:18" x14ac:dyDescent="0.3">
      <c r="A51" s="119">
        <v>5</v>
      </c>
      <c r="B51" s="39">
        <v>175</v>
      </c>
      <c r="C51" s="39">
        <v>0.158</v>
      </c>
      <c r="D51" s="39">
        <v>18</v>
      </c>
      <c r="E51" s="39">
        <v>184601</v>
      </c>
      <c r="F51" s="132">
        <f t="shared" si="1"/>
        <v>219490</v>
      </c>
      <c r="G51" s="133">
        <f t="shared" si="2"/>
        <v>1.18899830219345</v>
      </c>
      <c r="H51" s="133">
        <f t="shared" si="3"/>
        <v>2.4692612590371414E-2</v>
      </c>
      <c r="I51" s="133">
        <f t="shared" si="4"/>
        <v>0</v>
      </c>
      <c r="J51" s="133">
        <f t="shared" si="5"/>
        <v>1</v>
      </c>
      <c r="K51" s="133">
        <f t="shared" si="6"/>
        <v>5.3722074328757863</v>
      </c>
      <c r="L51" s="133">
        <f t="shared" si="7"/>
        <v>1.8539440989709344</v>
      </c>
      <c r="M51" s="133">
        <f t="shared" si="8"/>
        <v>2.4371087221091492</v>
      </c>
      <c r="N51" s="133"/>
    </row>
    <row r="52" spans="1:18" x14ac:dyDescent="0.3">
      <c r="A52" s="119">
        <v>6</v>
      </c>
      <c r="B52" s="39">
        <v>174</v>
      </c>
      <c r="C52" s="39">
        <v>0.159</v>
      </c>
      <c r="D52" s="39">
        <v>92</v>
      </c>
      <c r="E52" s="39">
        <v>911808</v>
      </c>
      <c r="F52" s="132">
        <f t="shared" si="1"/>
        <v>1084138</v>
      </c>
      <c r="G52" s="133">
        <f t="shared" si="2"/>
        <v>1.18899830219345</v>
      </c>
      <c r="H52" s="133">
        <f t="shared" si="3"/>
        <v>2.4692612590371414E-2</v>
      </c>
      <c r="I52" s="133">
        <f t="shared" si="4"/>
        <v>0</v>
      </c>
      <c r="J52" s="133">
        <f t="shared" si="5"/>
        <v>1</v>
      </c>
      <c r="K52" s="133">
        <f t="shared" si="6"/>
        <v>5.3722074328757863</v>
      </c>
      <c r="L52" s="133">
        <f t="shared" si="7"/>
        <v>1.8539440989709344</v>
      </c>
      <c r="M52" s="133">
        <f t="shared" si="8"/>
        <v>2.4371087221091492</v>
      </c>
      <c r="N52" s="133"/>
    </row>
    <row r="53" spans="1:18" x14ac:dyDescent="0.3">
      <c r="A53" s="119">
        <v>7</v>
      </c>
      <c r="B53" s="39">
        <v>90</v>
      </c>
      <c r="C53" s="39">
        <v>0.37</v>
      </c>
      <c r="D53" s="39">
        <v>185</v>
      </c>
      <c r="E53" s="39">
        <v>1970000</v>
      </c>
      <c r="F53" s="132">
        <f t="shared" si="1"/>
        <v>1970000</v>
      </c>
      <c r="G53" s="133">
        <f t="shared" si="2"/>
        <v>1</v>
      </c>
      <c r="H53" s="133">
        <f t="shared" si="3"/>
        <v>2.4692612590371414E-2</v>
      </c>
      <c r="I53" s="133">
        <f t="shared" si="4"/>
        <v>0</v>
      </c>
      <c r="J53" s="133">
        <f t="shared" si="5"/>
        <v>1</v>
      </c>
      <c r="K53" s="133">
        <f t="shared" si="6"/>
        <v>5.3722074328757863</v>
      </c>
      <c r="L53" s="133">
        <f t="shared" si="7"/>
        <v>1</v>
      </c>
      <c r="M53" s="133">
        <f t="shared" si="8"/>
        <v>5.3722074328757863</v>
      </c>
      <c r="N53" s="133"/>
    </row>
    <row r="54" spans="1:18" x14ac:dyDescent="0.3">
      <c r="A54" s="119">
        <v>8</v>
      </c>
      <c r="B54" s="39">
        <v>132</v>
      </c>
      <c r="C54" s="39">
        <v>0.26300000000000001</v>
      </c>
      <c r="D54" s="39">
        <v>202</v>
      </c>
      <c r="E54" s="39">
        <v>2224787</v>
      </c>
      <c r="F54" s="132">
        <f t="shared" si="1"/>
        <v>2224787</v>
      </c>
      <c r="G54" s="133">
        <f t="shared" si="2"/>
        <v>1</v>
      </c>
      <c r="H54" s="133">
        <f t="shared" si="3"/>
        <v>2.4692612590371414E-2</v>
      </c>
      <c r="I54" s="133">
        <f t="shared" si="4"/>
        <v>0</v>
      </c>
      <c r="J54" s="133">
        <f t="shared" si="5"/>
        <v>1</v>
      </c>
      <c r="K54" s="133">
        <f t="shared" si="6"/>
        <v>5.3722074328757863</v>
      </c>
      <c r="L54" s="133">
        <f t="shared" si="7"/>
        <v>1</v>
      </c>
      <c r="M54" s="133">
        <f t="shared" si="8"/>
        <v>5.3722074328757863</v>
      </c>
      <c r="N54" s="133"/>
    </row>
    <row r="55" spans="1:18" x14ac:dyDescent="0.3">
      <c r="C55" s="102"/>
      <c r="D55" s="102"/>
      <c r="E55" s="102"/>
      <c r="F55" s="102"/>
      <c r="G55" s="133"/>
      <c r="H55" s="133"/>
      <c r="J55" s="133"/>
      <c r="K55" s="133"/>
      <c r="L55" s="133"/>
      <c r="M55" s="133"/>
      <c r="N55" s="133"/>
    </row>
    <row r="56" spans="1:18" x14ac:dyDescent="0.3">
      <c r="C56" s="104" t="s">
        <v>29</v>
      </c>
      <c r="D56" s="132">
        <f>SUM(D47:D54)</f>
        <v>1002</v>
      </c>
      <c r="E56" s="104"/>
      <c r="F56" s="102"/>
      <c r="J56" s="133"/>
      <c r="K56" s="133"/>
      <c r="L56" s="133"/>
      <c r="M56" s="133"/>
      <c r="N56" s="133"/>
    </row>
    <row r="57" spans="1:18" x14ac:dyDescent="0.3">
      <c r="C57" s="104"/>
      <c r="D57" s="104"/>
      <c r="E57" s="104"/>
      <c r="F57" s="102"/>
      <c r="J57" s="133"/>
      <c r="K57" s="133"/>
      <c r="L57" s="133"/>
      <c r="M57" s="133"/>
      <c r="N57" s="133"/>
    </row>
    <row r="58" spans="1:18" x14ac:dyDescent="0.3">
      <c r="C58" s="119" t="s">
        <v>64</v>
      </c>
      <c r="D58" s="104"/>
      <c r="E58" s="104"/>
      <c r="F58" s="132">
        <f>SUM(F47:F54)</f>
        <v>10964647</v>
      </c>
      <c r="J58" s="133"/>
      <c r="K58" s="133"/>
      <c r="L58" s="133"/>
      <c r="M58" s="133"/>
      <c r="N58" s="133"/>
    </row>
    <row r="59" spans="1:18" x14ac:dyDescent="0.3">
      <c r="C59" s="104"/>
      <c r="D59" s="104"/>
      <c r="E59" s="104"/>
      <c r="F59" s="102"/>
      <c r="J59" s="133"/>
      <c r="K59" s="133"/>
      <c r="L59" s="133"/>
      <c r="M59" s="133"/>
      <c r="N59" s="133"/>
    </row>
    <row r="60" spans="1:18" x14ac:dyDescent="0.3">
      <c r="C60" s="104" t="s">
        <v>27</v>
      </c>
      <c r="D60" s="132">
        <f>$D$15</f>
        <v>0.14699999999999999</v>
      </c>
      <c r="E60" s="104"/>
      <c r="F60" s="102"/>
      <c r="J60" s="133"/>
      <c r="K60" s="133"/>
      <c r="L60" s="133"/>
      <c r="M60" s="133"/>
      <c r="N60" s="133"/>
    </row>
    <row r="61" spans="1:18" x14ac:dyDescent="0.3">
      <c r="C61" s="104"/>
      <c r="D61" s="104"/>
      <c r="E61" s="104"/>
      <c r="F61" s="102"/>
      <c r="J61" s="133"/>
      <c r="K61" s="133"/>
      <c r="L61" s="133"/>
      <c r="M61" s="133"/>
      <c r="N61" s="133"/>
    </row>
    <row r="62" spans="1:18" x14ac:dyDescent="0.3">
      <c r="A62" s="138"/>
      <c r="B62" s="138"/>
      <c r="C62" s="139"/>
      <c r="D62" s="139"/>
      <c r="E62" s="139"/>
      <c r="F62" s="140"/>
      <c r="G62" s="138"/>
      <c r="H62" s="138"/>
      <c r="I62" s="138"/>
      <c r="J62" s="141"/>
      <c r="K62" s="141"/>
      <c r="L62" s="133"/>
      <c r="M62" s="133"/>
      <c r="N62" s="133"/>
    </row>
    <row r="63" spans="1:18" x14ac:dyDescent="0.3">
      <c r="A63" s="138"/>
      <c r="B63" s="138"/>
      <c r="C63" s="138"/>
      <c r="D63" s="138"/>
      <c r="E63" s="138"/>
      <c r="F63" s="138"/>
      <c r="G63" s="138"/>
      <c r="H63" s="138"/>
      <c r="I63" s="138"/>
      <c r="J63" s="141"/>
      <c r="K63" s="141"/>
      <c r="L63" s="141"/>
      <c r="M63" s="141"/>
      <c r="N63" s="141"/>
      <c r="O63" s="138"/>
      <c r="P63" s="138"/>
    </row>
    <row r="64" spans="1:18" x14ac:dyDescent="0.3">
      <c r="A64" s="138"/>
      <c r="B64" s="138"/>
      <c r="C64" s="138"/>
      <c r="D64" s="138"/>
      <c r="E64" s="138"/>
      <c r="F64" s="138"/>
      <c r="G64" s="138"/>
      <c r="H64" s="138"/>
      <c r="I64" s="138"/>
      <c r="J64" s="141"/>
      <c r="K64" s="141"/>
      <c r="L64" s="141"/>
      <c r="M64" s="141"/>
      <c r="N64" s="141"/>
      <c r="O64" s="138"/>
      <c r="P64" s="138"/>
      <c r="Q64" s="142"/>
      <c r="R64" s="142"/>
    </row>
    <row r="65" spans="1:18" x14ac:dyDescent="0.3">
      <c r="A65" s="138"/>
      <c r="B65" s="138"/>
      <c r="C65" s="138"/>
      <c r="D65" s="138"/>
      <c r="E65" s="138"/>
      <c r="F65" s="138"/>
      <c r="G65" s="138"/>
      <c r="H65" s="138"/>
      <c r="I65" s="138"/>
      <c r="J65" s="141"/>
      <c r="K65" s="141"/>
      <c r="L65" s="141"/>
      <c r="M65" s="141"/>
      <c r="N65" s="141"/>
      <c r="O65" s="138"/>
      <c r="P65" s="138"/>
      <c r="Q65" s="142"/>
      <c r="R65" s="142"/>
    </row>
    <row r="66" spans="1:18" x14ac:dyDescent="0.3">
      <c r="A66" s="138"/>
      <c r="B66" s="143" t="s">
        <v>82</v>
      </c>
      <c r="C66" s="143" t="s">
        <v>83</v>
      </c>
      <c r="D66" s="144" t="s">
        <v>65</v>
      </c>
      <c r="E66" s="143" t="s">
        <v>61</v>
      </c>
      <c r="F66" s="143" t="s">
        <v>50</v>
      </c>
      <c r="G66" s="138"/>
      <c r="H66" s="138"/>
      <c r="I66" s="138"/>
      <c r="J66" s="141"/>
      <c r="K66" s="141"/>
      <c r="L66" s="141"/>
      <c r="M66" s="141"/>
      <c r="N66" s="141"/>
      <c r="O66" s="138"/>
      <c r="P66" s="138"/>
      <c r="Q66" s="142"/>
      <c r="R66" s="142"/>
    </row>
    <row r="67" spans="1:18" x14ac:dyDescent="0.3">
      <c r="A67" s="143" t="s">
        <v>48</v>
      </c>
      <c r="B67" s="143">
        <f>IF(F47="","",($D$19*F47))</f>
        <v>1338975.5999999999</v>
      </c>
      <c r="C67" s="143">
        <f>IF(B67="",0,(((($D$19*0.001*B47)/F36)+D25^-1)^-1)*C25*F25- D47)</f>
        <v>6.0988702964410209</v>
      </c>
      <c r="D67" s="143"/>
      <c r="E67" s="143">
        <f>IF(B47="",0,(($D$19*F47)-F47))</f>
        <v>-70472.40000000014</v>
      </c>
      <c r="F67" s="144"/>
      <c r="G67" s="138"/>
      <c r="H67" s="138"/>
      <c r="I67" s="138"/>
      <c r="J67" s="141"/>
      <c r="K67" s="141"/>
      <c r="L67" s="141"/>
      <c r="M67" s="141"/>
      <c r="N67" s="141"/>
      <c r="O67" s="138"/>
      <c r="P67" s="138"/>
      <c r="Q67" s="142"/>
      <c r="R67" s="142"/>
    </row>
    <row r="68" spans="1:18" x14ac:dyDescent="0.3">
      <c r="A68" s="143" t="s">
        <v>49</v>
      </c>
      <c r="B68" s="144" t="s">
        <v>84</v>
      </c>
      <c r="C68" s="143">
        <f>IF(B48="",0,((((-C67+D48)/(C26*F26))^-1-D26^-1)*F37*1000))</f>
        <v>274.05428193630956</v>
      </c>
      <c r="D68" s="143">
        <f>IF(C68=0,"",C68)</f>
        <v>274.05428193630956</v>
      </c>
      <c r="E68" s="143">
        <f>IF(B48="",0,(C68/B48)*F48- F48)</f>
        <v>74662.860477780458</v>
      </c>
      <c r="F68" s="143">
        <f>IF(E68=0,0,(E67+E68))</f>
        <v>4190.4604777803179</v>
      </c>
      <c r="G68" s="143" t="str">
        <f t="shared" ref="G68:G131" si="9">IF(F68&lt;0,F68,"")</f>
        <v/>
      </c>
      <c r="H68" s="138"/>
      <c r="I68" s="138"/>
      <c r="J68" s="141"/>
      <c r="K68" s="141"/>
      <c r="L68" s="141"/>
      <c r="M68" s="141"/>
      <c r="N68" s="141"/>
      <c r="O68" s="138"/>
      <c r="P68" s="138"/>
      <c r="Q68" s="142"/>
      <c r="R68" s="142"/>
    </row>
    <row r="69" spans="1:18" x14ac:dyDescent="0.3">
      <c r="A69" s="143"/>
      <c r="B69" s="138"/>
      <c r="C69" s="138"/>
      <c r="D69" s="143"/>
      <c r="E69" s="138"/>
      <c r="F69" s="143"/>
      <c r="G69" s="138" t="str">
        <f t="shared" si="9"/>
        <v/>
      </c>
      <c r="H69" s="138"/>
      <c r="I69" s="138"/>
      <c r="J69" s="141"/>
      <c r="K69" s="141"/>
      <c r="L69" s="141"/>
      <c r="M69" s="141"/>
      <c r="N69" s="141"/>
      <c r="O69" s="138"/>
      <c r="P69" s="138"/>
      <c r="Q69" s="142"/>
      <c r="R69" s="142"/>
    </row>
    <row r="70" spans="1:18" x14ac:dyDescent="0.3">
      <c r="A70" s="143">
        <v>1</v>
      </c>
      <c r="B70" s="143">
        <f>$B$67</f>
        <v>1338975.5999999999</v>
      </c>
      <c r="C70" s="143">
        <f>$C$67</f>
        <v>6.0988702964410209</v>
      </c>
      <c r="D70" s="143"/>
      <c r="E70" s="143">
        <f>$E$67</f>
        <v>-70472.40000000014</v>
      </c>
      <c r="F70" s="143"/>
      <c r="G70" s="138" t="str">
        <f t="shared" si="9"/>
        <v/>
      </c>
      <c r="H70" s="138"/>
      <c r="I70" s="138"/>
      <c r="J70" s="141"/>
      <c r="K70" s="141"/>
      <c r="L70" s="141"/>
      <c r="M70" s="141"/>
      <c r="N70" s="141"/>
      <c r="O70" s="138"/>
      <c r="P70" s="138"/>
      <c r="Q70" s="142"/>
      <c r="R70" s="142"/>
    </row>
    <row r="71" spans="1:18" x14ac:dyDescent="0.3">
      <c r="A71" s="143">
        <v>3</v>
      </c>
      <c r="B71" s="143"/>
      <c r="C71" s="143">
        <f>IF(B49="",0,((((-C70+D49)/(C27*F27))^-1-D27^-1)*F38*1000))</f>
        <v>289.3369615682733</v>
      </c>
      <c r="D71" s="143">
        <f>IF(C71=0,"",C71)</f>
        <v>289.3369615682733</v>
      </c>
      <c r="E71" s="143">
        <f>IF(B49="",0,(C71/B49)*F49- F49)</f>
        <v>71938.223846804583</v>
      </c>
      <c r="F71" s="143">
        <f>IF(E71=0,0,(E70+E71))</f>
        <v>1465.8238468044437</v>
      </c>
      <c r="G71" s="143" t="str">
        <f t="shared" si="9"/>
        <v/>
      </c>
      <c r="H71" s="138"/>
      <c r="I71" s="138"/>
      <c r="J71" s="141"/>
      <c r="K71" s="141"/>
      <c r="L71" s="141"/>
      <c r="M71" s="141"/>
      <c r="N71" s="141"/>
      <c r="O71" s="138"/>
      <c r="P71" s="138"/>
      <c r="Q71" s="142"/>
      <c r="R71" s="142"/>
    </row>
    <row r="72" spans="1:18" x14ac:dyDescent="0.3">
      <c r="A72" s="143"/>
      <c r="B72" s="143"/>
      <c r="C72" s="143"/>
      <c r="D72" s="143"/>
      <c r="E72" s="138"/>
      <c r="F72" s="143"/>
      <c r="G72" s="143" t="str">
        <f t="shared" si="9"/>
        <v/>
      </c>
      <c r="H72" s="138"/>
      <c r="I72" s="138"/>
      <c r="J72" s="138"/>
      <c r="K72" s="138"/>
      <c r="L72" s="138"/>
      <c r="M72" s="138"/>
      <c r="N72" s="138"/>
      <c r="O72" s="138"/>
      <c r="P72" s="138"/>
      <c r="Q72" s="142"/>
      <c r="R72" s="142"/>
    </row>
    <row r="73" spans="1:18" x14ac:dyDescent="0.3">
      <c r="A73" s="143">
        <v>1</v>
      </c>
      <c r="B73" s="143">
        <f>$B$67</f>
        <v>1338975.5999999999</v>
      </c>
      <c r="C73" s="143">
        <f>$C$67</f>
        <v>6.0988702964410209</v>
      </c>
      <c r="D73" s="143"/>
      <c r="E73" s="143">
        <f>$E$67</f>
        <v>-70472.40000000014</v>
      </c>
      <c r="F73" s="143"/>
      <c r="G73" s="143" t="str">
        <f t="shared" si="9"/>
        <v/>
      </c>
      <c r="H73" s="138"/>
      <c r="I73" s="138"/>
      <c r="J73" s="138"/>
      <c r="K73" s="138"/>
      <c r="L73" s="138"/>
      <c r="M73" s="138"/>
      <c r="N73" s="138"/>
      <c r="O73" s="138"/>
      <c r="P73" s="138"/>
      <c r="Q73" s="142"/>
      <c r="R73" s="142"/>
    </row>
    <row r="74" spans="1:18" x14ac:dyDescent="0.3">
      <c r="A74" s="143">
        <v>4</v>
      </c>
      <c r="B74" s="143"/>
      <c r="C74" s="143">
        <f>IF(B50="",0,((((-C73+D50)/(C28*F28))^-1-D28^-1)*F39*1000))</f>
        <v>114.21137167661628</v>
      </c>
      <c r="D74" s="143">
        <f>IF(C74=0,"",C74)</f>
        <v>114.21137167661628</v>
      </c>
      <c r="E74" s="143">
        <f>IF(B50="",0,(C74/B50)*F50- F50)</f>
        <v>76718.696937430999</v>
      </c>
      <c r="F74" s="143">
        <f>IF(E74=0,0,(E73+E74))</f>
        <v>6246.2969374308595</v>
      </c>
      <c r="G74" s="143" t="str">
        <f t="shared" si="9"/>
        <v/>
      </c>
      <c r="H74" s="138"/>
      <c r="I74" s="138"/>
      <c r="J74" s="138"/>
      <c r="K74" s="138"/>
      <c r="L74" s="138"/>
      <c r="M74" s="138"/>
      <c r="N74" s="138"/>
      <c r="O74" s="138"/>
      <c r="P74" s="138"/>
      <c r="Q74" s="142"/>
      <c r="R74" s="142"/>
    </row>
    <row r="75" spans="1:18" x14ac:dyDescent="0.3">
      <c r="A75" s="143"/>
      <c r="B75" s="143"/>
      <c r="C75" s="144"/>
      <c r="D75" s="143"/>
      <c r="E75" s="143"/>
      <c r="F75" s="143"/>
      <c r="G75" s="143" t="str">
        <f t="shared" si="9"/>
        <v/>
      </c>
      <c r="H75" s="138"/>
      <c r="I75" s="138"/>
      <c r="J75" s="138"/>
      <c r="K75" s="138"/>
      <c r="L75" s="138"/>
      <c r="M75" s="138"/>
      <c r="N75" s="138"/>
      <c r="O75" s="138"/>
      <c r="P75" s="138"/>
      <c r="Q75" s="142"/>
      <c r="R75" s="142"/>
    </row>
    <row r="76" spans="1:18" x14ac:dyDescent="0.3">
      <c r="A76" s="143">
        <v>1</v>
      </c>
      <c r="B76" s="143">
        <f>$B$67</f>
        <v>1338975.5999999999</v>
      </c>
      <c r="C76" s="143">
        <f>$C$67</f>
        <v>6.0988702964410209</v>
      </c>
      <c r="D76" s="143"/>
      <c r="E76" s="143">
        <f>$E$67</f>
        <v>-70472.40000000014</v>
      </c>
      <c r="F76" s="143"/>
      <c r="G76" s="143" t="str">
        <f t="shared" si="9"/>
        <v/>
      </c>
      <c r="H76" s="138"/>
      <c r="I76" s="138"/>
      <c r="J76" s="138"/>
      <c r="K76" s="138"/>
      <c r="L76" s="138"/>
      <c r="M76" s="138"/>
      <c r="N76" s="138"/>
      <c r="O76" s="138"/>
      <c r="P76" s="138"/>
      <c r="Q76" s="142"/>
      <c r="R76" s="142"/>
    </row>
    <row r="77" spans="1:18" x14ac:dyDescent="0.3">
      <c r="A77" s="143">
        <v>5</v>
      </c>
      <c r="B77" s="143"/>
      <c r="C77" s="143">
        <f>IF(B51="",0,((((-C76+D51)/(C29*F29))^-1-D29^-1)*F40*1000))</f>
        <v>278.75369347379262</v>
      </c>
      <c r="D77" s="143">
        <f>IF(C77=0,"",C77)</f>
        <v>278.75369347379262</v>
      </c>
      <c r="E77" s="143">
        <f>IF(B51="",0,(C77/B51)*F51- F51)</f>
        <v>130130.84674607281</v>
      </c>
      <c r="F77" s="143">
        <f>IF(E77=0,0,(E76+E77))</f>
        <v>59658.446746072674</v>
      </c>
      <c r="G77" s="143" t="str">
        <f t="shared" si="9"/>
        <v/>
      </c>
      <c r="H77" s="138"/>
      <c r="I77" s="138"/>
      <c r="J77" s="138"/>
      <c r="K77" s="138"/>
      <c r="L77" s="138"/>
      <c r="M77" s="138"/>
      <c r="N77" s="138"/>
      <c r="O77" s="138"/>
      <c r="P77" s="138"/>
      <c r="Q77" s="142"/>
      <c r="R77" s="142"/>
    </row>
    <row r="78" spans="1:18" x14ac:dyDescent="0.3">
      <c r="A78" s="143"/>
      <c r="B78" s="143"/>
      <c r="C78" s="144"/>
      <c r="D78" s="143"/>
      <c r="E78" s="143"/>
      <c r="F78" s="143"/>
      <c r="G78" s="143" t="str">
        <f t="shared" si="9"/>
        <v/>
      </c>
      <c r="H78" s="138"/>
      <c r="I78" s="138"/>
      <c r="J78" s="138"/>
      <c r="K78" s="138"/>
      <c r="L78" s="138"/>
      <c r="M78" s="138"/>
      <c r="N78" s="138"/>
      <c r="O78" s="138"/>
      <c r="P78" s="138"/>
      <c r="Q78" s="142"/>
      <c r="R78" s="142"/>
    </row>
    <row r="79" spans="1:18" x14ac:dyDescent="0.3">
      <c r="A79" s="143">
        <v>1</v>
      </c>
      <c r="B79" s="143">
        <f>$B$67</f>
        <v>1338975.5999999999</v>
      </c>
      <c r="C79" s="143">
        <f>$C$67</f>
        <v>6.0988702964410209</v>
      </c>
      <c r="D79" s="143"/>
      <c r="E79" s="143">
        <f>$E$67</f>
        <v>-70472.40000000014</v>
      </c>
      <c r="F79" s="143"/>
      <c r="G79" s="143" t="str">
        <f t="shared" si="9"/>
        <v/>
      </c>
      <c r="H79" s="138"/>
      <c r="I79" s="138"/>
      <c r="J79" s="138"/>
      <c r="K79" s="138"/>
      <c r="L79" s="138"/>
      <c r="M79" s="138"/>
      <c r="N79" s="138"/>
      <c r="O79" s="138"/>
      <c r="P79" s="138"/>
      <c r="Q79" s="142"/>
      <c r="R79" s="142"/>
    </row>
    <row r="80" spans="1:18" x14ac:dyDescent="0.3">
      <c r="A80" s="143">
        <v>6</v>
      </c>
      <c r="B80" s="143"/>
      <c r="C80" s="143">
        <f>IF(B52="",0,((((-C79+D52)/(C30*F30))^-1-D30^-1)*F41*1000))</f>
        <v>186.68535687234629</v>
      </c>
      <c r="D80" s="143">
        <f>IF(C80=0,"",C80)</f>
        <v>186.68535687234629</v>
      </c>
      <c r="E80" s="143">
        <f>IF(B52="",0,(C80/B52)*F52- F52)</f>
        <v>79038.376027998747</v>
      </c>
      <c r="F80" s="143">
        <f>IF(E80=0,0,(E79+E80))</f>
        <v>8565.9760279986076</v>
      </c>
      <c r="G80" s="143" t="str">
        <f t="shared" si="9"/>
        <v/>
      </c>
      <c r="H80" s="138"/>
      <c r="I80" s="138"/>
      <c r="J80" s="138"/>
      <c r="K80" s="138"/>
      <c r="L80" s="138"/>
      <c r="M80" s="138"/>
      <c r="N80" s="138"/>
      <c r="O80" s="138"/>
      <c r="P80" s="138"/>
      <c r="Q80" s="142"/>
      <c r="R80" s="142"/>
    </row>
    <row r="81" spans="1:19" x14ac:dyDescent="0.3">
      <c r="A81" s="143"/>
      <c r="B81" s="143"/>
      <c r="C81" s="143"/>
      <c r="D81" s="143"/>
      <c r="E81" s="143"/>
      <c r="F81" s="143"/>
      <c r="G81" s="143" t="str">
        <f t="shared" si="9"/>
        <v/>
      </c>
      <c r="H81" s="138"/>
      <c r="I81" s="138"/>
      <c r="J81" s="138"/>
      <c r="K81" s="138"/>
      <c r="L81" s="138"/>
      <c r="M81" s="138"/>
      <c r="N81" s="138"/>
      <c r="O81" s="138"/>
      <c r="P81" s="138"/>
      <c r="Q81" s="142"/>
      <c r="R81" s="142"/>
    </row>
    <row r="82" spans="1:19" x14ac:dyDescent="0.3">
      <c r="A82" s="143">
        <v>1</v>
      </c>
      <c r="B82" s="143">
        <f>$B$67</f>
        <v>1338975.5999999999</v>
      </c>
      <c r="C82" s="143">
        <f>$C$67</f>
        <v>6.0988702964410209</v>
      </c>
      <c r="D82" s="143"/>
      <c r="E82" s="143">
        <f>$E$67</f>
        <v>-70472.40000000014</v>
      </c>
      <c r="F82" s="143"/>
      <c r="G82" s="143" t="str">
        <f t="shared" si="9"/>
        <v/>
      </c>
      <c r="H82" s="138"/>
      <c r="I82" s="138"/>
      <c r="J82" s="138"/>
      <c r="K82" s="138"/>
      <c r="L82" s="138"/>
      <c r="M82" s="138"/>
      <c r="N82" s="138"/>
      <c r="O82" s="138"/>
      <c r="P82" s="138"/>
      <c r="Q82" s="142"/>
      <c r="R82" s="142"/>
    </row>
    <row r="83" spans="1:19" x14ac:dyDescent="0.3">
      <c r="A83" s="143">
        <v>7</v>
      </c>
      <c r="B83" s="143"/>
      <c r="C83" s="143">
        <f>IF(B53="",0,((((-C82+D53)/(C31*F31))^-1-D31^-1)*F42*1000))</f>
        <v>93.537246251508833</v>
      </c>
      <c r="D83" s="143">
        <f>IF(C83=0,"",C83)</f>
        <v>93.537246251508833</v>
      </c>
      <c r="E83" s="143">
        <f>IF(B53="",0,(C83/B53)*F53- F53)</f>
        <v>77426.390171915526</v>
      </c>
      <c r="F83" s="143">
        <f>IF(E83=0,0,(E82+E83))</f>
        <v>6953.9901719153859</v>
      </c>
      <c r="G83" s="143" t="str">
        <f t="shared" si="9"/>
        <v/>
      </c>
      <c r="H83" s="138"/>
      <c r="I83" s="138"/>
      <c r="J83" s="138"/>
      <c r="K83" s="138"/>
      <c r="L83" s="138"/>
      <c r="M83" s="138"/>
      <c r="N83" s="138"/>
      <c r="O83" s="138"/>
      <c r="P83" s="138"/>
      <c r="Q83" s="142"/>
      <c r="R83" s="142"/>
    </row>
    <row r="84" spans="1:19" x14ac:dyDescent="0.3">
      <c r="A84" s="143"/>
      <c r="B84" s="143"/>
      <c r="C84" s="143"/>
      <c r="D84" s="143"/>
      <c r="E84" s="143"/>
      <c r="F84" s="143"/>
      <c r="G84" s="143" t="str">
        <f t="shared" si="9"/>
        <v/>
      </c>
      <c r="H84" s="138"/>
      <c r="I84" s="138"/>
      <c r="J84" s="138"/>
      <c r="K84" s="138"/>
      <c r="L84" s="138"/>
      <c r="M84" s="138"/>
      <c r="N84" s="138"/>
      <c r="O84" s="138"/>
      <c r="P84" s="138"/>
      <c r="Q84" s="142"/>
      <c r="R84" s="142"/>
    </row>
    <row r="85" spans="1:19" x14ac:dyDescent="0.3">
      <c r="A85" s="143">
        <v>1</v>
      </c>
      <c r="B85" s="143">
        <f>$B$67</f>
        <v>1338975.5999999999</v>
      </c>
      <c r="C85" s="143">
        <f>$C$67</f>
        <v>6.0988702964410209</v>
      </c>
      <c r="D85" s="143"/>
      <c r="E85" s="143">
        <f>$E$67</f>
        <v>-70472.40000000014</v>
      </c>
      <c r="F85" s="143"/>
      <c r="G85" s="143" t="str">
        <f t="shared" si="9"/>
        <v/>
      </c>
      <c r="H85" s="138"/>
      <c r="I85" s="138"/>
      <c r="J85" s="138"/>
      <c r="K85" s="138"/>
      <c r="L85" s="138"/>
      <c r="M85" s="138"/>
      <c r="N85" s="138"/>
      <c r="O85" s="138"/>
      <c r="P85" s="138"/>
      <c r="Q85" s="142"/>
      <c r="R85" s="142"/>
    </row>
    <row r="86" spans="1:19" x14ac:dyDescent="0.3">
      <c r="A86" s="143">
        <v>8</v>
      </c>
      <c r="B86" s="138"/>
      <c r="C86" s="143">
        <f>IF(B54="",0,((((-C85+D54)/(C32*F32))^-1-D32^-1)*F43*1000))</f>
        <v>136.6943913541663</v>
      </c>
      <c r="D86" s="143">
        <f>IF(C86=0,"",C86)</f>
        <v>136.6943913541663</v>
      </c>
      <c r="E86" s="143">
        <f>IF(B54="",0,(C86/B54)*F54- F54)</f>
        <v>79121.370133799966</v>
      </c>
      <c r="F86" s="143">
        <f>IF(E86=0,0,(E85+E86))</f>
        <v>8648.9701337998267</v>
      </c>
      <c r="G86" s="143" t="str">
        <f t="shared" si="9"/>
        <v/>
      </c>
      <c r="H86" s="138"/>
      <c r="I86" s="138"/>
      <c r="J86" s="138"/>
      <c r="K86" s="138"/>
      <c r="L86" s="138"/>
      <c r="M86" s="138"/>
      <c r="N86" s="138"/>
      <c r="O86" s="138"/>
      <c r="P86" s="138"/>
      <c r="Q86" s="142"/>
      <c r="R86" s="142"/>
    </row>
    <row r="87" spans="1:19" x14ac:dyDescent="0.3">
      <c r="A87" s="143"/>
      <c r="B87" s="138"/>
      <c r="C87" s="143"/>
      <c r="D87" s="143"/>
      <c r="E87" s="138"/>
      <c r="F87" s="138"/>
      <c r="G87" s="143" t="str">
        <f t="shared" si="9"/>
        <v/>
      </c>
      <c r="H87" s="138"/>
      <c r="I87" s="138"/>
      <c r="J87" s="138"/>
      <c r="K87" s="138"/>
      <c r="L87" s="138"/>
      <c r="M87" s="138"/>
      <c r="N87" s="138"/>
      <c r="O87" s="138"/>
      <c r="P87" s="138"/>
      <c r="Q87" s="142"/>
      <c r="R87" s="142"/>
    </row>
    <row r="88" spans="1:19" x14ac:dyDescent="0.3">
      <c r="A88" s="143">
        <v>2</v>
      </c>
      <c r="B88" s="143">
        <f>IF(F48="","",($D$19*F48))</f>
        <v>2342518.5499999998</v>
      </c>
      <c r="C88" s="143">
        <f>IF(B88="",0,(((($D$19*0.001*B48)/F37)+D26^-1)^-1)*C26*F26- D48)</f>
        <v>10.51716872615458</v>
      </c>
      <c r="D88" s="143"/>
      <c r="E88" s="143">
        <f>IF(B48="",0,(($D$19*F48)-F48))</f>
        <v>-123290.45000000019</v>
      </c>
      <c r="F88" s="143"/>
      <c r="G88" s="143" t="str">
        <f t="shared" si="9"/>
        <v/>
      </c>
      <c r="H88" s="138"/>
      <c r="I88" s="138"/>
      <c r="J88" s="138"/>
      <c r="K88" s="138"/>
      <c r="L88" s="138"/>
      <c r="M88" s="138"/>
      <c r="N88" s="138"/>
      <c r="O88" s="138"/>
      <c r="P88" s="138"/>
      <c r="Q88" s="142"/>
      <c r="R88" s="142"/>
    </row>
    <row r="89" spans="1:19" x14ac:dyDescent="0.3">
      <c r="A89" s="143">
        <v>3</v>
      </c>
      <c r="B89" s="143"/>
      <c r="C89" s="143">
        <f>IF(B49="",0,((((-C88+D49)/(C27*F27))^-1-D27^-1)*F38*1000))</f>
        <v>305.51142547049164</v>
      </c>
      <c r="D89" s="143">
        <f>IF(C89=0,"",C89)</f>
        <v>305.51142547049164</v>
      </c>
      <c r="E89" s="143">
        <f>IF(B49="",0,(C89/B49)*F49- F49)</f>
        <v>132111.18332089949</v>
      </c>
      <c r="F89" s="143">
        <f>IF(E89=0,0,(E88+E89))</f>
        <v>8820.7333208993077</v>
      </c>
      <c r="G89" s="143" t="str">
        <f t="shared" si="9"/>
        <v/>
      </c>
      <c r="H89" s="138"/>
      <c r="I89" s="138"/>
      <c r="J89" s="138"/>
      <c r="K89" s="138"/>
      <c r="L89" s="138"/>
      <c r="M89" s="138"/>
      <c r="N89" s="138"/>
      <c r="O89" s="138"/>
      <c r="P89" s="138"/>
      <c r="Q89" s="142"/>
      <c r="R89" s="142"/>
    </row>
    <row r="90" spans="1:19" x14ac:dyDescent="0.3">
      <c r="A90" s="143"/>
      <c r="B90" s="143"/>
      <c r="C90" s="144"/>
      <c r="D90" s="143"/>
      <c r="E90" s="143"/>
      <c r="F90" s="143"/>
      <c r="G90" s="143" t="str">
        <f t="shared" si="9"/>
        <v/>
      </c>
      <c r="H90" s="138"/>
      <c r="I90" s="138"/>
      <c r="J90" s="138"/>
      <c r="K90" s="138"/>
      <c r="L90" s="138"/>
      <c r="M90" s="138"/>
      <c r="N90" s="138"/>
      <c r="O90" s="138"/>
      <c r="P90" s="138"/>
      <c r="Q90" s="142"/>
      <c r="R90" s="142"/>
    </row>
    <row r="91" spans="1:19" x14ac:dyDescent="0.3">
      <c r="A91" s="143">
        <v>2</v>
      </c>
      <c r="B91" s="143">
        <f>$B$88</f>
        <v>2342518.5499999998</v>
      </c>
      <c r="C91" s="143">
        <f>$C$88</f>
        <v>10.51716872615458</v>
      </c>
      <c r="D91" s="143"/>
      <c r="E91" s="143">
        <f>$E$88</f>
        <v>-123290.45000000019</v>
      </c>
      <c r="F91" s="143"/>
      <c r="G91" s="143" t="str">
        <f t="shared" si="9"/>
        <v/>
      </c>
      <c r="H91" s="138"/>
      <c r="I91" s="138"/>
      <c r="J91" s="138"/>
      <c r="K91" s="138"/>
      <c r="L91" s="138"/>
      <c r="M91" s="138"/>
      <c r="N91" s="138"/>
      <c r="O91" s="138"/>
      <c r="P91" s="138"/>
      <c r="Q91" s="142"/>
      <c r="R91" s="142"/>
    </row>
    <row r="92" spans="1:19" x14ac:dyDescent="0.3">
      <c r="A92" s="143">
        <v>4</v>
      </c>
      <c r="B92" s="143"/>
      <c r="C92" s="143">
        <f>IF(B50="",0,((((-C91+D50)/(C28*F28))^-1-D28^-1)*F39*1000))</f>
        <v>125.86931633991027</v>
      </c>
      <c r="D92" s="143">
        <f>IF(C92=0,"",C92)</f>
        <v>125.86931633991027</v>
      </c>
      <c r="E92" s="143">
        <f>IF(B50="",0,(C92/B50)*F50- F50)</f>
        <v>144416.61244756856</v>
      </c>
      <c r="F92" s="143">
        <f>IF(E92=0,0,(E91+E92))</f>
        <v>21126.162447568378</v>
      </c>
      <c r="G92" s="143" t="str">
        <f t="shared" si="9"/>
        <v/>
      </c>
      <c r="H92" s="138"/>
      <c r="I92" s="138"/>
      <c r="J92" s="138"/>
      <c r="K92" s="138"/>
      <c r="L92" s="138"/>
      <c r="M92" s="138"/>
      <c r="N92" s="138"/>
      <c r="O92" s="138"/>
      <c r="P92" s="138"/>
      <c r="Q92" s="142"/>
      <c r="R92" s="142"/>
    </row>
    <row r="93" spans="1:19" x14ac:dyDescent="0.3">
      <c r="A93" s="143"/>
      <c r="B93" s="143"/>
      <c r="C93" s="143"/>
      <c r="D93" s="143"/>
      <c r="E93" s="143"/>
      <c r="F93" s="143"/>
      <c r="G93" s="143" t="str">
        <f t="shared" si="9"/>
        <v/>
      </c>
      <c r="H93" s="138"/>
      <c r="I93" s="138"/>
      <c r="J93" s="138"/>
      <c r="K93" s="138"/>
      <c r="L93" s="138"/>
      <c r="M93" s="138"/>
      <c r="N93" s="138"/>
      <c r="O93" s="138"/>
      <c r="P93" s="138"/>
      <c r="Q93" s="142"/>
      <c r="R93" s="142"/>
    </row>
    <row r="94" spans="1:19" x14ac:dyDescent="0.3">
      <c r="A94" s="143">
        <v>2</v>
      </c>
      <c r="B94" s="143">
        <f>$B$88</f>
        <v>2342518.5499999998</v>
      </c>
      <c r="C94" s="143">
        <f>$C$88</f>
        <v>10.51716872615458</v>
      </c>
      <c r="D94" s="143"/>
      <c r="E94" s="143">
        <f>$E$88</f>
        <v>-123290.45000000019</v>
      </c>
      <c r="F94" s="143"/>
      <c r="G94" s="143" t="str">
        <f t="shared" si="9"/>
        <v/>
      </c>
      <c r="H94" s="138"/>
      <c r="I94" s="138"/>
      <c r="J94" s="138"/>
      <c r="K94" s="138"/>
      <c r="L94" s="138"/>
      <c r="M94" s="138"/>
      <c r="N94" s="138"/>
      <c r="O94" s="138"/>
      <c r="P94" s="138"/>
      <c r="Q94" s="142"/>
      <c r="R94" s="142"/>
    </row>
    <row r="95" spans="1:19" x14ac:dyDescent="0.3">
      <c r="A95" s="143">
        <v>5</v>
      </c>
      <c r="B95" s="143"/>
      <c r="C95" s="143">
        <f>IF(B51="",0,((((-C94+D51)/(C29*F29))^-1-D29^-1)*F40*1000))</f>
        <v>451.7811890520349</v>
      </c>
      <c r="D95" s="143">
        <f>IF(C95=0,"",C95)</f>
        <v>451.7811890520349</v>
      </c>
      <c r="E95" s="143">
        <f>(IF(B51="",0,C95/B51)*F51- F51)</f>
        <v>347146.87534303509</v>
      </c>
      <c r="F95" s="143">
        <f>IF(E95=0,0,(E94+E95))</f>
        <v>223856.42534303491</v>
      </c>
      <c r="G95" s="143" t="str">
        <f t="shared" si="9"/>
        <v/>
      </c>
      <c r="H95" s="138"/>
      <c r="I95" s="138"/>
      <c r="J95" s="138"/>
      <c r="K95" s="138"/>
      <c r="L95" s="138"/>
      <c r="M95" s="138"/>
      <c r="N95" s="138"/>
      <c r="O95" s="138"/>
      <c r="P95" s="138"/>
      <c r="Q95" s="142"/>
      <c r="R95" s="142"/>
      <c r="S95" s="142"/>
    </row>
    <row r="96" spans="1:19" x14ac:dyDescent="0.3">
      <c r="A96" s="143"/>
      <c r="B96" s="143"/>
      <c r="C96" s="143"/>
      <c r="D96" s="143"/>
      <c r="E96" s="143"/>
      <c r="F96" s="143"/>
      <c r="G96" s="143" t="str">
        <f t="shared" si="9"/>
        <v/>
      </c>
      <c r="H96" s="138"/>
      <c r="I96" s="138"/>
      <c r="J96" s="138"/>
      <c r="K96" s="138"/>
      <c r="L96" s="138"/>
      <c r="M96" s="138"/>
      <c r="N96" s="138"/>
      <c r="O96" s="138"/>
      <c r="P96" s="138"/>
      <c r="Q96" s="142"/>
      <c r="R96" s="142"/>
      <c r="S96" s="142"/>
    </row>
    <row r="97" spans="1:19" x14ac:dyDescent="0.3">
      <c r="A97" s="143">
        <v>2</v>
      </c>
      <c r="B97" s="143">
        <f>$B$88</f>
        <v>2342518.5499999998</v>
      </c>
      <c r="C97" s="143">
        <f>$C$88</f>
        <v>10.51716872615458</v>
      </c>
      <c r="D97" s="143"/>
      <c r="E97" s="143">
        <f>$E$88</f>
        <v>-123290.45000000019</v>
      </c>
      <c r="F97" s="143"/>
      <c r="G97" s="143" t="str">
        <f t="shared" si="9"/>
        <v/>
      </c>
      <c r="H97" s="138"/>
      <c r="I97" s="138"/>
      <c r="J97" s="138"/>
      <c r="K97" s="138"/>
      <c r="L97" s="138"/>
      <c r="M97" s="138"/>
      <c r="N97" s="138"/>
      <c r="O97" s="138"/>
      <c r="P97" s="138"/>
      <c r="Q97" s="142"/>
      <c r="R97" s="142"/>
      <c r="S97" s="142"/>
    </row>
    <row r="98" spans="1:19" x14ac:dyDescent="0.3">
      <c r="A98" s="143">
        <v>6</v>
      </c>
      <c r="B98" s="143"/>
      <c r="C98" s="143">
        <f>IF(B52="",0,((((-C97+D52)/(C30*F30))^-1-D30^-1)*F41*1000))</f>
        <v>197.62147779051247</v>
      </c>
      <c r="D98" s="143">
        <f>IF(C98=0,"",C98)</f>
        <v>197.62147779051247</v>
      </c>
      <c r="E98" s="143">
        <f>IF(B52="",0,(C98/B52)*F52- F52)</f>
        <v>147177.82579799206</v>
      </c>
      <c r="F98" s="143">
        <f>IF(E98=0,0,(E97+E98))</f>
        <v>23887.375797991874</v>
      </c>
      <c r="G98" s="143" t="str">
        <f t="shared" si="9"/>
        <v/>
      </c>
      <c r="H98" s="138"/>
      <c r="I98" s="138"/>
      <c r="J98" s="138"/>
      <c r="K98" s="138"/>
      <c r="L98" s="138"/>
      <c r="M98" s="138"/>
      <c r="N98" s="138"/>
      <c r="O98" s="138"/>
      <c r="P98" s="138"/>
      <c r="Q98" s="142"/>
      <c r="R98" s="142"/>
      <c r="S98" s="142"/>
    </row>
    <row r="99" spans="1:19" x14ac:dyDescent="0.3">
      <c r="A99" s="143"/>
      <c r="B99" s="143"/>
      <c r="C99" s="143"/>
      <c r="D99" s="143"/>
      <c r="E99" s="143"/>
      <c r="F99" s="143"/>
      <c r="G99" s="143" t="str">
        <f t="shared" si="9"/>
        <v/>
      </c>
      <c r="H99" s="138"/>
      <c r="I99" s="138"/>
      <c r="J99" s="138"/>
      <c r="K99" s="138"/>
      <c r="L99" s="138"/>
      <c r="M99" s="138"/>
      <c r="N99" s="138"/>
      <c r="O99" s="138"/>
      <c r="P99" s="138"/>
      <c r="Q99" s="142"/>
      <c r="R99" s="142"/>
      <c r="S99" s="142"/>
    </row>
    <row r="100" spans="1:19" x14ac:dyDescent="0.3">
      <c r="A100" s="143">
        <v>2</v>
      </c>
      <c r="B100" s="143">
        <f>$B$88</f>
        <v>2342518.5499999998</v>
      </c>
      <c r="C100" s="143">
        <f>$C$88</f>
        <v>10.51716872615458</v>
      </c>
      <c r="D100" s="143"/>
      <c r="E100" s="143">
        <f>$E$88</f>
        <v>-123290.45000000019</v>
      </c>
      <c r="F100" s="143"/>
      <c r="G100" s="143" t="str">
        <f t="shared" si="9"/>
        <v/>
      </c>
      <c r="H100" s="138"/>
      <c r="I100" s="138"/>
      <c r="J100" s="138"/>
      <c r="K100" s="138"/>
      <c r="L100" s="138"/>
      <c r="M100" s="138"/>
      <c r="N100" s="138"/>
      <c r="O100" s="138"/>
      <c r="P100" s="138"/>
      <c r="Q100" s="142"/>
      <c r="R100" s="142"/>
      <c r="S100" s="142"/>
    </row>
    <row r="101" spans="1:19" x14ac:dyDescent="0.3">
      <c r="A101" s="143">
        <v>7</v>
      </c>
      <c r="B101" s="143"/>
      <c r="C101" s="143">
        <f>IF(B53="",0,((((-C100+D53)/(C31*F31))^-1-D31^-1)*F42*1000))</f>
        <v>96.226568623515476</v>
      </c>
      <c r="D101" s="143">
        <f>IF(C101=0,"",C101)</f>
        <v>96.226568623515476</v>
      </c>
      <c r="E101" s="143">
        <f>IF(B53="",0,(C101/B53)*F53- F53)</f>
        <v>136292.66875917185</v>
      </c>
      <c r="F101" s="143">
        <f>IF(E101=0,0,(E100+E101))</f>
        <v>13002.218759171665</v>
      </c>
      <c r="G101" s="143" t="str">
        <f t="shared" si="9"/>
        <v/>
      </c>
      <c r="H101" s="138"/>
      <c r="I101" s="138"/>
      <c r="J101" s="138"/>
      <c r="K101" s="138"/>
      <c r="L101" s="138"/>
      <c r="M101" s="138"/>
      <c r="N101" s="138"/>
      <c r="O101" s="138"/>
      <c r="P101" s="138"/>
      <c r="Q101" s="142"/>
      <c r="R101" s="142"/>
      <c r="S101" s="142"/>
    </row>
    <row r="102" spans="1:19" x14ac:dyDescent="0.3">
      <c r="A102" s="143"/>
      <c r="B102" s="143"/>
      <c r="C102" s="143"/>
      <c r="D102" s="143"/>
      <c r="E102" s="143"/>
      <c r="F102" s="143"/>
      <c r="G102" s="143" t="str">
        <f t="shared" si="9"/>
        <v/>
      </c>
      <c r="H102" s="138"/>
      <c r="I102" s="138"/>
      <c r="J102" s="138"/>
      <c r="K102" s="138"/>
      <c r="L102" s="138"/>
      <c r="M102" s="138"/>
      <c r="N102" s="138"/>
      <c r="O102" s="138"/>
      <c r="P102" s="138"/>
      <c r="Q102" s="142"/>
      <c r="R102" s="142"/>
      <c r="S102" s="142"/>
    </row>
    <row r="103" spans="1:19" x14ac:dyDescent="0.3">
      <c r="A103" s="143">
        <v>2</v>
      </c>
      <c r="B103" s="143">
        <f>$B$88</f>
        <v>2342518.5499999998</v>
      </c>
      <c r="C103" s="143">
        <f>$C$88</f>
        <v>10.51716872615458</v>
      </c>
      <c r="D103" s="143"/>
      <c r="E103" s="143">
        <f>$E$88</f>
        <v>-123290.45000000019</v>
      </c>
      <c r="F103" s="143"/>
      <c r="G103" s="143" t="str">
        <f t="shared" si="9"/>
        <v/>
      </c>
      <c r="H103" s="138"/>
      <c r="I103" s="138"/>
      <c r="J103" s="138"/>
      <c r="K103" s="138"/>
      <c r="L103" s="138"/>
      <c r="M103" s="138"/>
      <c r="N103" s="138"/>
      <c r="O103" s="138"/>
      <c r="P103" s="138"/>
      <c r="Q103" s="142"/>
      <c r="R103" s="142"/>
      <c r="S103" s="142"/>
    </row>
    <row r="104" spans="1:19" x14ac:dyDescent="0.3">
      <c r="A104" s="143">
        <v>8</v>
      </c>
      <c r="B104" s="143"/>
      <c r="C104" s="143">
        <f>IF(B54="",0,((((-C103+D54)/(C32*F32))^-1-D32^-1)*F43*1000))</f>
        <v>140.14076680058966</v>
      </c>
      <c r="D104" s="143">
        <f>IF(C104=0,"",C104)</f>
        <v>140.14076680058966</v>
      </c>
      <c r="E104" s="143">
        <f>IF(B54="",0,(C104/B54)*F54- F54)</f>
        <v>137208.1223332081</v>
      </c>
      <c r="F104" s="143">
        <f>IF(E104=0,0,(E103+E104))</f>
        <v>13917.672333207913</v>
      </c>
      <c r="G104" s="143" t="str">
        <f t="shared" si="9"/>
        <v/>
      </c>
      <c r="H104" s="138"/>
      <c r="I104" s="138"/>
      <c r="J104" s="138"/>
      <c r="K104" s="138"/>
      <c r="L104" s="138"/>
      <c r="M104" s="138"/>
      <c r="N104" s="138"/>
      <c r="O104" s="138"/>
      <c r="P104" s="138"/>
      <c r="Q104" s="142"/>
      <c r="R104" s="142"/>
      <c r="S104" s="142"/>
    </row>
    <row r="105" spans="1:19" x14ac:dyDescent="0.3">
      <c r="A105" s="143"/>
      <c r="B105" s="143"/>
      <c r="C105" s="143"/>
      <c r="D105" s="143"/>
      <c r="E105" s="143"/>
      <c r="F105" s="143"/>
      <c r="G105" s="143" t="str">
        <f t="shared" si="9"/>
        <v/>
      </c>
      <c r="H105" s="138"/>
      <c r="I105" s="138"/>
      <c r="J105" s="138"/>
      <c r="K105" s="138"/>
      <c r="L105" s="138"/>
      <c r="M105" s="138"/>
      <c r="N105" s="138"/>
      <c r="O105" s="138"/>
      <c r="P105" s="138"/>
      <c r="Q105" s="142"/>
      <c r="R105" s="142"/>
      <c r="S105" s="142"/>
    </row>
    <row r="106" spans="1:19" x14ac:dyDescent="0.3">
      <c r="A106" s="143">
        <v>3</v>
      </c>
      <c r="B106" s="143">
        <f>IF(F49="","",($D$19*F49))</f>
        <v>954242.7</v>
      </c>
      <c r="C106" s="143">
        <f>IF(B106="",0,IF(B106="",0,(((($D$19*0.001*B49)/F38)+D27^-1)^-1)*C27*F27- D49))</f>
        <v>4.5046448477919228</v>
      </c>
      <c r="D106" s="143"/>
      <c r="E106" s="143">
        <f>IF(B49="",0,(($D$19*F49)-F49))</f>
        <v>-50223.300000000047</v>
      </c>
      <c r="F106" s="143"/>
      <c r="G106" s="143" t="str">
        <f t="shared" si="9"/>
        <v/>
      </c>
      <c r="H106" s="138"/>
      <c r="I106" s="138"/>
      <c r="J106" s="138"/>
      <c r="K106" s="138"/>
      <c r="L106" s="138"/>
      <c r="M106" s="138"/>
      <c r="N106" s="138"/>
      <c r="O106" s="138"/>
      <c r="P106" s="138"/>
      <c r="Q106" s="142"/>
      <c r="R106" s="142"/>
      <c r="S106" s="142"/>
    </row>
    <row r="107" spans="1:19" x14ac:dyDescent="0.3">
      <c r="A107" s="143">
        <v>4</v>
      </c>
      <c r="B107" s="143"/>
      <c r="C107" s="143">
        <f>IF(B50="",0,((((-C106+D50)/(C28*F28))^-1-D28^-1)*F39*1000))</f>
        <v>110.47769065506672</v>
      </c>
      <c r="D107" s="143">
        <f>IF(C107=0,"",C107)</f>
        <v>110.47769065506672</v>
      </c>
      <c r="E107" s="143">
        <f>IF(B50="",0,(C107/B50)*F50- F50)</f>
        <v>55037.137311015162</v>
      </c>
      <c r="F107" s="143">
        <f>IF(E107=0,0,(E106+E107))</f>
        <v>4813.8373110151151</v>
      </c>
      <c r="G107" s="143" t="str">
        <f t="shared" si="9"/>
        <v/>
      </c>
      <c r="H107" s="138"/>
      <c r="I107" s="138"/>
      <c r="J107" s="138"/>
      <c r="K107" s="138"/>
      <c r="L107" s="138"/>
      <c r="M107" s="138"/>
      <c r="N107" s="138"/>
      <c r="O107" s="138"/>
      <c r="P107" s="138"/>
      <c r="Q107" s="142"/>
      <c r="R107" s="142"/>
      <c r="S107" s="142"/>
    </row>
    <row r="108" spans="1:19" x14ac:dyDescent="0.3">
      <c r="A108" s="143"/>
      <c r="B108" s="143"/>
      <c r="C108" s="143"/>
      <c r="D108" s="143"/>
      <c r="E108" s="143"/>
      <c r="F108" s="143"/>
      <c r="G108" s="143" t="str">
        <f t="shared" si="9"/>
        <v/>
      </c>
      <c r="H108" s="138"/>
      <c r="I108" s="138"/>
      <c r="J108" s="138"/>
      <c r="K108" s="138"/>
      <c r="L108" s="138"/>
      <c r="M108" s="138"/>
      <c r="N108" s="138"/>
      <c r="O108" s="138"/>
      <c r="P108" s="138"/>
      <c r="Q108" s="142"/>
      <c r="R108" s="142"/>
      <c r="S108" s="142"/>
    </row>
    <row r="109" spans="1:19" x14ac:dyDescent="0.3">
      <c r="A109" s="143">
        <v>3</v>
      </c>
      <c r="B109" s="143">
        <f>$B$106</f>
        <v>954242.7</v>
      </c>
      <c r="C109" s="143">
        <f>$C$106</f>
        <v>4.5046448477919228</v>
      </c>
      <c r="D109" s="143"/>
      <c r="E109" s="143">
        <f>$E$106</f>
        <v>-50223.300000000047</v>
      </c>
      <c r="F109" s="143"/>
      <c r="G109" s="143" t="str">
        <f t="shared" si="9"/>
        <v/>
      </c>
      <c r="H109" s="138"/>
      <c r="I109" s="138"/>
      <c r="J109" s="138"/>
      <c r="K109" s="138"/>
      <c r="L109" s="138"/>
      <c r="M109" s="138"/>
      <c r="N109" s="138"/>
      <c r="O109" s="138"/>
      <c r="P109" s="138"/>
      <c r="Q109" s="142"/>
      <c r="R109" s="142"/>
      <c r="S109" s="142"/>
    </row>
    <row r="110" spans="1:19" x14ac:dyDescent="0.3">
      <c r="A110" s="143">
        <v>5</v>
      </c>
      <c r="B110" s="143"/>
      <c r="C110" s="143">
        <f>IF(B51="",0,((((-C109+D51)/(C29*F29))^-1-D29^-1)*F40*1000))</f>
        <v>244.13653252928586</v>
      </c>
      <c r="D110" s="143">
        <f>IF(C110=0,"",C110)</f>
        <v>244.13653252928586</v>
      </c>
      <c r="E110" s="143">
        <f>IF(B51="",0,(C110/B51)*F51- F51)</f>
        <v>86713.014427731163</v>
      </c>
      <c r="F110" s="143">
        <f>IF(E110=0,0,(E109+E110))</f>
        <v>36489.714427731116</v>
      </c>
      <c r="G110" s="143" t="str">
        <f t="shared" si="9"/>
        <v/>
      </c>
      <c r="H110" s="138"/>
      <c r="I110" s="138"/>
      <c r="J110" s="138"/>
      <c r="K110" s="138"/>
      <c r="L110" s="138"/>
      <c r="M110" s="138"/>
      <c r="N110" s="138"/>
      <c r="O110" s="138"/>
      <c r="P110" s="138"/>
      <c r="Q110" s="142"/>
      <c r="R110" s="142"/>
      <c r="S110" s="142"/>
    </row>
    <row r="111" spans="1:19" x14ac:dyDescent="0.3">
      <c r="A111" s="143"/>
      <c r="B111" s="143"/>
      <c r="C111" s="143"/>
      <c r="D111" s="143"/>
      <c r="E111" s="143"/>
      <c r="F111" s="143"/>
      <c r="G111" s="143" t="str">
        <f t="shared" si="9"/>
        <v/>
      </c>
      <c r="H111" s="138"/>
      <c r="I111" s="138"/>
      <c r="J111" s="138"/>
      <c r="K111" s="138"/>
      <c r="L111" s="138"/>
      <c r="M111" s="138"/>
      <c r="N111" s="138"/>
      <c r="O111" s="138"/>
      <c r="P111" s="138"/>
      <c r="Q111" s="142"/>
      <c r="R111" s="142"/>
      <c r="S111" s="142"/>
    </row>
    <row r="112" spans="1:19" x14ac:dyDescent="0.3">
      <c r="A112" s="143">
        <v>3</v>
      </c>
      <c r="B112" s="143">
        <f>$B$106</f>
        <v>954242.7</v>
      </c>
      <c r="C112" s="143">
        <f>$C$106</f>
        <v>4.5046448477919228</v>
      </c>
      <c r="D112" s="143"/>
      <c r="E112" s="143">
        <f>$E$106</f>
        <v>-50223.300000000047</v>
      </c>
      <c r="F112" s="143"/>
      <c r="G112" s="143" t="str">
        <f t="shared" si="9"/>
        <v/>
      </c>
      <c r="H112" s="138"/>
      <c r="I112" s="138"/>
      <c r="J112" s="138"/>
      <c r="K112" s="138"/>
      <c r="L112" s="138"/>
      <c r="M112" s="138"/>
      <c r="N112" s="138"/>
      <c r="O112" s="138"/>
      <c r="P112" s="138"/>
      <c r="Q112" s="142"/>
      <c r="R112" s="142"/>
      <c r="S112" s="142"/>
    </row>
    <row r="113" spans="1:19" x14ac:dyDescent="0.3">
      <c r="A113" s="143">
        <v>6</v>
      </c>
      <c r="B113" s="143"/>
      <c r="C113" s="143">
        <f>IF(B52="",0,((((-C112+D52)/(C30*F30))^-1-D30^-1)*F41*1000))</f>
        <v>183.0105111849789</v>
      </c>
      <c r="D113" s="143">
        <f>IF(C113=0,"",C113)</f>
        <v>183.0105111849789</v>
      </c>
      <c r="E113" s="143">
        <f>IF(B52="",0,(C113/B52)*F52- F52)</f>
        <v>56141.595258969348</v>
      </c>
      <c r="F113" s="143">
        <f>IF(E113=0,0,(E112+E113))</f>
        <v>5918.2952589693014</v>
      </c>
      <c r="G113" s="143" t="str">
        <f t="shared" si="9"/>
        <v/>
      </c>
      <c r="H113" s="138"/>
      <c r="I113" s="138"/>
      <c r="J113" s="138"/>
      <c r="K113" s="138"/>
      <c r="L113" s="138"/>
      <c r="M113" s="138"/>
      <c r="N113" s="138"/>
      <c r="O113" s="138"/>
      <c r="P113" s="138"/>
      <c r="Q113" s="142"/>
      <c r="R113" s="142"/>
      <c r="S113" s="142"/>
    </row>
    <row r="114" spans="1:19" x14ac:dyDescent="0.3">
      <c r="A114" s="143"/>
      <c r="B114" s="143"/>
      <c r="C114" s="143"/>
      <c r="D114" s="143"/>
      <c r="E114" s="143"/>
      <c r="F114" s="143"/>
      <c r="G114" s="143" t="str">
        <f t="shared" si="9"/>
        <v/>
      </c>
      <c r="H114" s="138"/>
      <c r="I114" s="138"/>
      <c r="J114" s="138"/>
      <c r="K114" s="138"/>
      <c r="L114" s="138"/>
      <c r="M114" s="138"/>
      <c r="N114" s="138"/>
      <c r="O114" s="138"/>
      <c r="P114" s="138"/>
      <c r="Q114" s="142"/>
      <c r="R114" s="142"/>
      <c r="S114" s="142"/>
    </row>
    <row r="115" spans="1:19" x14ac:dyDescent="0.3">
      <c r="A115" s="143">
        <v>3</v>
      </c>
      <c r="B115" s="143">
        <f>$B$106</f>
        <v>954242.7</v>
      </c>
      <c r="C115" s="143">
        <f>$C$106</f>
        <v>4.5046448477919228</v>
      </c>
      <c r="D115" s="143"/>
      <c r="E115" s="143">
        <f>$E$106</f>
        <v>-50223.300000000047</v>
      </c>
      <c r="F115" s="143"/>
      <c r="G115" s="143" t="str">
        <f t="shared" si="9"/>
        <v/>
      </c>
      <c r="H115" s="138"/>
      <c r="I115" s="138"/>
      <c r="J115" s="138"/>
      <c r="K115" s="138"/>
      <c r="L115" s="138"/>
      <c r="M115" s="138"/>
      <c r="N115" s="138"/>
      <c r="O115" s="138"/>
      <c r="P115" s="138"/>
      <c r="Q115" s="142"/>
      <c r="R115" s="142"/>
      <c r="S115" s="142"/>
    </row>
    <row r="116" spans="1:19" x14ac:dyDescent="0.3">
      <c r="A116" s="143">
        <v>7</v>
      </c>
      <c r="B116" s="143"/>
      <c r="C116" s="143">
        <f>IF(B53="",0,((((-C115+D53)/(C31*F31))^-1-D31^-1)*F42*1000))</f>
        <v>92.599200058699665</v>
      </c>
      <c r="D116" s="143">
        <f>IF(C116=0,"",C116)</f>
        <v>92.599200058699665</v>
      </c>
      <c r="E116" s="143">
        <f>IF(B53="",0,(C116/B53)*F53- F53)</f>
        <v>56893.601284870412</v>
      </c>
      <c r="F116" s="143">
        <f>IF(E116=0,0,(E115+E116))</f>
        <v>6670.3012848703656</v>
      </c>
      <c r="G116" s="143" t="str">
        <f t="shared" si="9"/>
        <v/>
      </c>
      <c r="H116" s="138"/>
      <c r="I116" s="138"/>
      <c r="J116" s="138"/>
      <c r="K116" s="138"/>
      <c r="L116" s="138"/>
      <c r="M116" s="138"/>
      <c r="N116" s="138"/>
      <c r="O116" s="138"/>
      <c r="P116" s="138"/>
      <c r="Q116" s="142"/>
      <c r="R116" s="142"/>
      <c r="S116" s="142"/>
    </row>
    <row r="117" spans="1:19" x14ac:dyDescent="0.3">
      <c r="A117" s="143"/>
      <c r="B117" s="143"/>
      <c r="C117" s="143"/>
      <c r="D117" s="143"/>
      <c r="E117" s="143"/>
      <c r="F117" s="143"/>
      <c r="G117" s="143" t="str">
        <f t="shared" si="9"/>
        <v/>
      </c>
      <c r="H117" s="138"/>
      <c r="I117" s="138"/>
      <c r="J117" s="138"/>
      <c r="K117" s="138"/>
      <c r="L117" s="138"/>
      <c r="M117" s="138"/>
      <c r="N117" s="138"/>
      <c r="O117" s="138"/>
      <c r="P117" s="138"/>
      <c r="Q117" s="142"/>
      <c r="R117" s="142"/>
      <c r="S117" s="142"/>
    </row>
    <row r="118" spans="1:19" x14ac:dyDescent="0.3">
      <c r="A118" s="143">
        <v>3</v>
      </c>
      <c r="B118" s="143">
        <f>$B$106</f>
        <v>954242.7</v>
      </c>
      <c r="C118" s="143">
        <f>$C$106</f>
        <v>4.5046448477919228</v>
      </c>
      <c r="D118" s="143"/>
      <c r="E118" s="143">
        <f>$E$106</f>
        <v>-50223.300000000047</v>
      </c>
      <c r="F118" s="143"/>
      <c r="G118" s="143" t="str">
        <f t="shared" si="9"/>
        <v/>
      </c>
      <c r="H118" s="138"/>
      <c r="I118" s="138"/>
      <c r="J118" s="138"/>
      <c r="K118" s="138"/>
      <c r="L118" s="138"/>
      <c r="M118" s="138"/>
      <c r="N118" s="138"/>
      <c r="O118" s="138"/>
      <c r="P118" s="138"/>
      <c r="Q118" s="142"/>
      <c r="R118" s="142"/>
      <c r="S118" s="142"/>
    </row>
    <row r="119" spans="1:19" x14ac:dyDescent="0.3">
      <c r="A119" s="143">
        <v>8</v>
      </c>
      <c r="B119" s="143"/>
      <c r="C119" s="143">
        <f>IF(B54="",0,((((-C118+D54)/(C32*F32))^-1-D32^-1)*F43*1000))</f>
        <v>135.48871641791044</v>
      </c>
      <c r="D119" s="143">
        <f>IF(C119=0,"",C119)</f>
        <v>135.48871641791044</v>
      </c>
      <c r="E119" s="143">
        <f>IF(B54="",0,(C119/B54)*F54- F54)</f>
        <v>58800.385857983027</v>
      </c>
      <c r="F119" s="143">
        <f>IF(E119=0,0,(E118+E119))</f>
        <v>8577.0858579829801</v>
      </c>
      <c r="G119" s="143" t="str">
        <f t="shared" si="9"/>
        <v/>
      </c>
      <c r="H119" s="138"/>
      <c r="I119" s="138"/>
      <c r="J119" s="138"/>
      <c r="K119" s="138"/>
      <c r="L119" s="138"/>
      <c r="M119" s="138"/>
      <c r="N119" s="138"/>
      <c r="O119" s="138"/>
      <c r="P119" s="138"/>
      <c r="Q119" s="142"/>
      <c r="R119" s="142"/>
      <c r="S119" s="142"/>
    </row>
    <row r="120" spans="1:19" x14ac:dyDescent="0.3">
      <c r="A120" s="143"/>
      <c r="B120" s="143"/>
      <c r="C120" s="143"/>
      <c r="D120" s="143"/>
      <c r="E120" s="143"/>
      <c r="F120" s="143"/>
      <c r="G120" s="143" t="str">
        <f t="shared" si="9"/>
        <v/>
      </c>
      <c r="H120" s="138"/>
      <c r="I120" s="138"/>
      <c r="J120" s="138"/>
      <c r="K120" s="138"/>
      <c r="L120" s="138"/>
      <c r="M120" s="138"/>
      <c r="N120" s="138"/>
      <c r="O120" s="138"/>
      <c r="P120" s="138"/>
      <c r="Q120" s="142"/>
      <c r="R120" s="142"/>
      <c r="S120" s="142"/>
    </row>
    <row r="121" spans="1:19" x14ac:dyDescent="0.3">
      <c r="A121" s="143">
        <v>4</v>
      </c>
      <c r="B121" s="143">
        <f>IF(F50="","",($D$19*F50))</f>
        <v>557183.54999999993</v>
      </c>
      <c r="C121" s="143">
        <f>IF(B121="",0,(((($D$19*0.001*B50)/F39)+D28^-1)^-1)*C28*F28- D50)</f>
        <v>2.756878744485519</v>
      </c>
      <c r="D121" s="143"/>
      <c r="E121" s="143">
        <f>IF(B50="",0,(($D$19*F50)-F50))</f>
        <v>-29325.45000000007</v>
      </c>
      <c r="F121" s="143"/>
      <c r="G121" s="143" t="str">
        <f t="shared" si="9"/>
        <v/>
      </c>
      <c r="H121" s="138"/>
      <c r="I121" s="138"/>
      <c r="J121" s="138"/>
      <c r="K121" s="138"/>
      <c r="L121" s="138"/>
      <c r="M121" s="138"/>
      <c r="N121" s="138"/>
      <c r="O121" s="138"/>
      <c r="P121" s="138"/>
      <c r="Q121" s="142"/>
      <c r="R121" s="142"/>
      <c r="S121" s="142"/>
    </row>
    <row r="122" spans="1:19" x14ac:dyDescent="0.3">
      <c r="A122" s="143">
        <v>5</v>
      </c>
      <c r="B122" s="143"/>
      <c r="C122" s="143">
        <f>IF(B51="",0,((((-C121+D51)/(C29*F29))^-1-D29^-1)*F40*1000))</f>
        <v>214.50601029223805</v>
      </c>
      <c r="D122" s="143">
        <f>IF(C122=0,"",C122)</f>
        <v>214.50601029223805</v>
      </c>
      <c r="E122" s="143">
        <f>IF(B51="",0,(C122/B51)*F51- F51)</f>
        <v>49549.566851676151</v>
      </c>
      <c r="F122" s="143">
        <f>IF(E122=0,0,(E121+E122))</f>
        <v>20224.116851676081</v>
      </c>
      <c r="G122" s="143" t="str">
        <f t="shared" si="9"/>
        <v/>
      </c>
      <c r="H122" s="138"/>
      <c r="I122" s="138"/>
      <c r="J122" s="138"/>
      <c r="K122" s="138"/>
      <c r="L122" s="138"/>
      <c r="M122" s="138"/>
      <c r="N122" s="138"/>
      <c r="O122" s="138"/>
      <c r="P122" s="138"/>
      <c r="Q122" s="142"/>
      <c r="R122" s="142"/>
      <c r="S122" s="142"/>
    </row>
    <row r="123" spans="1:19" x14ac:dyDescent="0.3">
      <c r="A123" s="143"/>
      <c r="B123" s="143"/>
      <c r="C123" s="143"/>
      <c r="D123" s="143"/>
      <c r="E123" s="143"/>
      <c r="F123" s="143"/>
      <c r="G123" s="143" t="str">
        <f t="shared" si="9"/>
        <v/>
      </c>
      <c r="H123" s="138"/>
      <c r="I123" s="138"/>
      <c r="J123" s="138"/>
      <c r="K123" s="138"/>
      <c r="L123" s="138"/>
      <c r="M123" s="138"/>
      <c r="N123" s="138"/>
      <c r="O123" s="138"/>
      <c r="P123" s="138"/>
      <c r="Q123" s="142"/>
      <c r="R123" s="142"/>
      <c r="S123" s="142"/>
    </row>
    <row r="124" spans="1:19" x14ac:dyDescent="0.3">
      <c r="A124" s="143">
        <v>4</v>
      </c>
      <c r="B124" s="143">
        <f>$B$121</f>
        <v>557183.54999999993</v>
      </c>
      <c r="C124" s="143">
        <f>$C$121</f>
        <v>2.756878744485519</v>
      </c>
      <c r="D124" s="143"/>
      <c r="E124" s="143">
        <f>$E$121</f>
        <v>-29325.45000000007</v>
      </c>
      <c r="F124" s="143"/>
      <c r="G124" s="143" t="str">
        <f t="shared" si="9"/>
        <v/>
      </c>
      <c r="H124" s="138"/>
      <c r="I124" s="138"/>
      <c r="J124" s="138"/>
      <c r="K124" s="138"/>
      <c r="L124" s="138"/>
      <c r="M124" s="138"/>
      <c r="N124" s="138"/>
      <c r="O124" s="138"/>
      <c r="P124" s="138"/>
      <c r="Q124" s="142"/>
      <c r="R124" s="142"/>
      <c r="S124" s="142"/>
    </row>
    <row r="125" spans="1:19" x14ac:dyDescent="0.3">
      <c r="A125" s="143">
        <v>6</v>
      </c>
      <c r="B125" s="143"/>
      <c r="C125" s="143">
        <f>IF(B52="",0,((((-C124+D52)/(C30*F30))^-1-D30^-1)*F41*1000))</f>
        <v>179.13260939626156</v>
      </c>
      <c r="D125" s="143">
        <f>IF(C125=0,"",C125)</f>
        <v>179.13260939626156</v>
      </c>
      <c r="E125" s="143">
        <f>IF(B52="",0,(C125/B52)*F52- F52)</f>
        <v>31979.637273817323</v>
      </c>
      <c r="F125" s="143">
        <f>IF(E125=0,0,(E124+E125))</f>
        <v>2654.1872738172533</v>
      </c>
      <c r="G125" s="143" t="str">
        <f t="shared" si="9"/>
        <v/>
      </c>
      <c r="H125" s="138"/>
      <c r="I125" s="138"/>
      <c r="J125" s="138"/>
      <c r="K125" s="138"/>
      <c r="L125" s="138"/>
      <c r="M125" s="138"/>
      <c r="N125" s="138"/>
      <c r="O125" s="138"/>
      <c r="P125" s="138"/>
      <c r="Q125" s="142"/>
      <c r="R125" s="142"/>
      <c r="S125" s="142"/>
    </row>
    <row r="126" spans="1:19" x14ac:dyDescent="0.3">
      <c r="A126" s="143"/>
      <c r="B126" s="143"/>
      <c r="C126" s="143"/>
      <c r="D126" s="143"/>
      <c r="E126" s="143"/>
      <c r="F126" s="143"/>
      <c r="G126" s="143" t="str">
        <f t="shared" si="9"/>
        <v/>
      </c>
      <c r="H126" s="138"/>
      <c r="I126" s="138"/>
      <c r="J126" s="138"/>
      <c r="K126" s="138"/>
      <c r="L126" s="138"/>
      <c r="M126" s="138"/>
      <c r="N126" s="138"/>
      <c r="O126" s="138"/>
      <c r="P126" s="138"/>
      <c r="Q126" s="142"/>
      <c r="R126" s="142"/>
      <c r="S126" s="142"/>
    </row>
    <row r="127" spans="1:19" x14ac:dyDescent="0.3">
      <c r="A127" s="143">
        <v>4</v>
      </c>
      <c r="B127" s="143">
        <f>$B$121</f>
        <v>557183.54999999993</v>
      </c>
      <c r="C127" s="143">
        <f>$C$121</f>
        <v>2.756878744485519</v>
      </c>
      <c r="D127" s="143"/>
      <c r="E127" s="143">
        <f>$E$121</f>
        <v>-29325.45000000007</v>
      </c>
      <c r="F127" s="143"/>
      <c r="G127" s="143" t="str">
        <f t="shared" si="9"/>
        <v/>
      </c>
      <c r="H127" s="138"/>
      <c r="I127" s="138"/>
      <c r="J127" s="138"/>
      <c r="K127" s="138"/>
      <c r="L127" s="138"/>
      <c r="M127" s="138"/>
      <c r="N127" s="138"/>
      <c r="O127" s="138"/>
      <c r="P127" s="138"/>
      <c r="Q127" s="142"/>
      <c r="R127" s="142"/>
      <c r="S127" s="142"/>
    </row>
    <row r="128" spans="1:19" x14ac:dyDescent="0.3">
      <c r="A128" s="143">
        <v>7</v>
      </c>
      <c r="B128" s="143"/>
      <c r="C128" s="143">
        <f>IF(B53="",0,((((-C127+D53)/(C31*F31))^-1-D31^-1)*F42*1000))</f>
        <v>91.589668876231499</v>
      </c>
      <c r="D128" s="143">
        <f>IF(C128=0,"",C128)</f>
        <v>91.589668876231499</v>
      </c>
      <c r="E128" s="143">
        <f>IF(B53="",0,(C128/B53)*F53- F53)</f>
        <v>34796.085401956225</v>
      </c>
      <c r="F128" s="143">
        <f>IF(E128=0,0,(E127+E128))</f>
        <v>5470.635401956155</v>
      </c>
      <c r="G128" s="143" t="str">
        <f t="shared" si="9"/>
        <v/>
      </c>
      <c r="H128" s="138"/>
      <c r="I128" s="138"/>
      <c r="J128" s="138"/>
      <c r="K128" s="138"/>
      <c r="L128" s="138"/>
      <c r="M128" s="138"/>
      <c r="N128" s="138"/>
      <c r="O128" s="138"/>
      <c r="P128" s="138"/>
      <c r="Q128" s="142"/>
      <c r="R128" s="142"/>
      <c r="S128" s="142"/>
    </row>
    <row r="129" spans="1:19" x14ac:dyDescent="0.3">
      <c r="A129" s="143"/>
      <c r="B129" s="143"/>
      <c r="C129" s="143"/>
      <c r="D129" s="143"/>
      <c r="E129" s="143"/>
      <c r="F129" s="143"/>
      <c r="G129" s="143" t="str">
        <f t="shared" si="9"/>
        <v/>
      </c>
      <c r="H129" s="138"/>
      <c r="I129" s="138"/>
      <c r="J129" s="138"/>
      <c r="K129" s="138"/>
      <c r="L129" s="138"/>
      <c r="M129" s="138"/>
      <c r="N129" s="138"/>
      <c r="O129" s="138"/>
      <c r="P129" s="138"/>
      <c r="Q129" s="142"/>
      <c r="R129" s="142"/>
      <c r="S129" s="142"/>
    </row>
    <row r="130" spans="1:19" x14ac:dyDescent="0.3">
      <c r="A130" s="143">
        <v>4</v>
      </c>
      <c r="B130" s="143">
        <f>$B$121</f>
        <v>557183.54999999993</v>
      </c>
      <c r="C130" s="143">
        <f>$C$121</f>
        <v>2.756878744485519</v>
      </c>
      <c r="D130" s="143"/>
      <c r="E130" s="143">
        <f>$E$121</f>
        <v>-29325.45000000007</v>
      </c>
      <c r="F130" s="143"/>
      <c r="G130" s="143" t="str">
        <f t="shared" si="9"/>
        <v/>
      </c>
      <c r="H130" s="138"/>
      <c r="I130" s="138"/>
      <c r="J130" s="138"/>
      <c r="K130" s="138"/>
      <c r="L130" s="138"/>
      <c r="M130" s="138"/>
      <c r="N130" s="138"/>
      <c r="O130" s="138"/>
      <c r="P130" s="138"/>
      <c r="Q130" s="142"/>
      <c r="R130" s="142"/>
      <c r="S130" s="142"/>
    </row>
    <row r="131" spans="1:19" x14ac:dyDescent="0.3">
      <c r="A131" s="143">
        <v>8</v>
      </c>
      <c r="B131" s="143"/>
      <c r="C131" s="143">
        <f>IF(B54="",0,((((-C130+D54)/(C32*F32))^-1-D32^-1)*F43*1000))</f>
        <v>134.18909334964135</v>
      </c>
      <c r="D131" s="143">
        <f>IF(C131=0,"",C131)</f>
        <v>134.18909334964135</v>
      </c>
      <c r="E131" s="143">
        <f>IF(B54="",0,(C131/B54)*F54- F54)</f>
        <v>36895.957773246802</v>
      </c>
      <c r="F131" s="143">
        <f>IF(E131=0,0,(E130+E131))</f>
        <v>7570.5077732467325</v>
      </c>
      <c r="G131" s="143" t="str">
        <f t="shared" si="9"/>
        <v/>
      </c>
      <c r="H131" s="138"/>
      <c r="I131" s="138"/>
      <c r="J131" s="138"/>
      <c r="K131" s="138"/>
      <c r="L131" s="138"/>
      <c r="M131" s="138"/>
      <c r="N131" s="138"/>
      <c r="O131" s="138"/>
      <c r="P131" s="138"/>
      <c r="Q131" s="142"/>
      <c r="R131" s="142"/>
      <c r="S131" s="142"/>
    </row>
    <row r="132" spans="1:19" x14ac:dyDescent="0.3">
      <c r="A132" s="143"/>
      <c r="B132" s="143"/>
      <c r="C132" s="143"/>
      <c r="D132" s="143"/>
      <c r="E132" s="143"/>
      <c r="F132" s="143"/>
      <c r="G132" s="143" t="str">
        <f t="shared" ref="G132:G195" si="10">IF(F132&lt;0,F132,"")</f>
        <v/>
      </c>
      <c r="H132" s="138"/>
      <c r="I132" s="138"/>
      <c r="J132" s="138"/>
      <c r="K132" s="138"/>
      <c r="L132" s="138"/>
      <c r="M132" s="138"/>
      <c r="N132" s="138"/>
      <c r="O132" s="138"/>
      <c r="P132" s="138"/>
      <c r="Q132" s="142"/>
      <c r="R132" s="142"/>
      <c r="S132" s="142"/>
    </row>
    <row r="133" spans="1:19" x14ac:dyDescent="0.3">
      <c r="A133" s="143">
        <v>5</v>
      </c>
      <c r="B133" s="143">
        <f>IF(F51="","",($D$19*F51))</f>
        <v>208515.5</v>
      </c>
      <c r="C133" s="143">
        <f>IF(B133="",0,(((($D$19*0.001*B51)/F40)+D29^-1)^-1)*C29*F29- D51)</f>
        <v>1.317507418397625</v>
      </c>
      <c r="D133" s="143"/>
      <c r="E133" s="143">
        <f>IF(B51="",0,(($D$19*F51)-F51))</f>
        <v>-10974.5</v>
      </c>
      <c r="F133" s="143"/>
      <c r="G133" s="143" t="str">
        <f t="shared" si="10"/>
        <v/>
      </c>
      <c r="H133" s="138"/>
      <c r="I133" s="138"/>
      <c r="J133" s="138"/>
      <c r="K133" s="138"/>
      <c r="L133" s="138"/>
      <c r="M133" s="138"/>
      <c r="N133" s="138"/>
      <c r="O133" s="138"/>
      <c r="P133" s="138"/>
      <c r="Q133" s="142"/>
      <c r="R133" s="142"/>
      <c r="S133" s="142"/>
    </row>
    <row r="134" spans="1:19" x14ac:dyDescent="0.3">
      <c r="A134" s="143">
        <v>6</v>
      </c>
      <c r="B134" s="143"/>
      <c r="C134" s="143">
        <f>IF(B52="",0,((((-C133+D52)/(C30*F30))^-1-D30^-1)*F41*1000))</f>
        <v>176.05121073298429</v>
      </c>
      <c r="D134" s="143">
        <f>IF(C134=0,"",C134)</f>
        <v>176.05121073298429</v>
      </c>
      <c r="E134" s="143">
        <f>IF(B52="",0,(C134/B52)*F52- F52)</f>
        <v>12780.433917448856</v>
      </c>
      <c r="F134" s="143">
        <f>IF(E134=0,0,(E133+E134))</f>
        <v>1805.9339174488559</v>
      </c>
      <c r="G134" s="143" t="str">
        <f t="shared" si="10"/>
        <v/>
      </c>
      <c r="H134" s="138"/>
      <c r="I134" s="138"/>
      <c r="J134" s="138"/>
      <c r="K134" s="138"/>
      <c r="L134" s="138"/>
      <c r="M134" s="138"/>
      <c r="N134" s="138"/>
      <c r="O134" s="138"/>
      <c r="P134" s="138"/>
      <c r="Q134" s="142"/>
      <c r="R134" s="142"/>
      <c r="S134" s="142"/>
    </row>
    <row r="135" spans="1:19" x14ac:dyDescent="0.3">
      <c r="A135" s="143"/>
      <c r="B135" s="143"/>
      <c r="C135" s="143"/>
      <c r="D135" s="143"/>
      <c r="E135" s="143"/>
      <c r="F135" s="143"/>
      <c r="G135" s="143" t="str">
        <f t="shared" si="10"/>
        <v/>
      </c>
      <c r="H135" s="138"/>
      <c r="I135" s="138"/>
      <c r="J135" s="138"/>
      <c r="K135" s="138"/>
      <c r="L135" s="138"/>
      <c r="M135" s="138"/>
      <c r="N135" s="138"/>
      <c r="O135" s="138"/>
      <c r="P135" s="138"/>
      <c r="Q135" s="142"/>
      <c r="R135" s="142"/>
      <c r="S135" s="142"/>
    </row>
    <row r="136" spans="1:19" x14ac:dyDescent="0.3">
      <c r="A136" s="143">
        <v>5</v>
      </c>
      <c r="B136" s="143">
        <f>$B$133</f>
        <v>208515.5</v>
      </c>
      <c r="C136" s="143">
        <f>$C$133</f>
        <v>1.317507418397625</v>
      </c>
      <c r="D136" s="143"/>
      <c r="E136" s="143">
        <f>$E$133</f>
        <v>-10974.5</v>
      </c>
      <c r="F136" s="143"/>
      <c r="G136" s="143" t="str">
        <f t="shared" si="10"/>
        <v/>
      </c>
      <c r="H136" s="138"/>
      <c r="I136" s="138"/>
      <c r="J136" s="138"/>
      <c r="K136" s="138"/>
      <c r="L136" s="138"/>
      <c r="M136" s="138"/>
      <c r="N136" s="138"/>
      <c r="O136" s="138"/>
      <c r="P136" s="138"/>
      <c r="Q136" s="142"/>
      <c r="R136" s="142"/>
      <c r="S136" s="142"/>
    </row>
    <row r="137" spans="1:19" x14ac:dyDescent="0.3">
      <c r="A137" s="143">
        <v>7</v>
      </c>
      <c r="B137" s="143"/>
      <c r="C137" s="143">
        <f>IF(B53="",0,((((-C136+D53)/(C31*F31))^-1-D31^-1)*F42*1000))</f>
        <v>90.772696186922118</v>
      </c>
      <c r="D137" s="143">
        <f>IF(C137=0,"",C137)</f>
        <v>90.772696186922118</v>
      </c>
      <c r="E137" s="143">
        <f>IF(B53="",0,(C137/B53)*F53- F53)</f>
        <v>16913.460980406264</v>
      </c>
      <c r="F137" s="143">
        <f>IF(E137=0,0,(E136+E137))</f>
        <v>5938.9609804062638</v>
      </c>
      <c r="G137" s="143" t="str">
        <f t="shared" si="10"/>
        <v/>
      </c>
      <c r="H137" s="138"/>
      <c r="I137" s="138"/>
      <c r="J137" s="138"/>
      <c r="K137" s="138"/>
      <c r="L137" s="138"/>
      <c r="M137" s="138"/>
      <c r="N137" s="138"/>
      <c r="O137" s="138"/>
      <c r="P137" s="138"/>
      <c r="Q137" s="142"/>
      <c r="R137" s="142"/>
      <c r="S137" s="142"/>
    </row>
    <row r="138" spans="1:19" x14ac:dyDescent="0.3">
      <c r="A138" s="143"/>
      <c r="B138" s="143"/>
      <c r="C138" s="143"/>
      <c r="D138" s="143"/>
      <c r="E138" s="143"/>
      <c r="F138" s="143"/>
      <c r="G138" s="143" t="str">
        <f t="shared" si="10"/>
        <v/>
      </c>
      <c r="H138" s="138"/>
      <c r="I138" s="138"/>
      <c r="J138" s="138"/>
      <c r="K138" s="138"/>
      <c r="L138" s="138"/>
      <c r="M138" s="138"/>
      <c r="N138" s="138"/>
      <c r="O138" s="138"/>
      <c r="P138" s="138"/>
      <c r="Q138" s="142"/>
      <c r="R138" s="142"/>
      <c r="S138" s="142"/>
    </row>
    <row r="139" spans="1:19" x14ac:dyDescent="0.3">
      <c r="A139" s="143">
        <v>5</v>
      </c>
      <c r="B139" s="143">
        <f>$B$133</f>
        <v>208515.5</v>
      </c>
      <c r="C139" s="143">
        <f>$C$133</f>
        <v>1.317507418397625</v>
      </c>
      <c r="D139" s="143"/>
      <c r="E139" s="143">
        <f>$E$133</f>
        <v>-10974.5</v>
      </c>
      <c r="F139" s="143"/>
      <c r="G139" s="143" t="str">
        <f t="shared" si="10"/>
        <v/>
      </c>
      <c r="H139" s="138"/>
      <c r="I139" s="138"/>
      <c r="J139" s="138"/>
      <c r="K139" s="138"/>
      <c r="L139" s="138"/>
      <c r="M139" s="138"/>
      <c r="N139" s="138"/>
      <c r="O139" s="138"/>
      <c r="P139" s="138"/>
      <c r="Q139" s="142"/>
      <c r="R139" s="142"/>
      <c r="S139" s="142"/>
    </row>
    <row r="140" spans="1:19" x14ac:dyDescent="0.3">
      <c r="A140" s="143">
        <v>8</v>
      </c>
      <c r="B140" s="143"/>
      <c r="C140" s="143">
        <f>IF(B54="",0,((((-C139+D54)/(C32*F32))^-1-D32^-1)*F43*1000))</f>
        <v>133.13578786534575</v>
      </c>
      <c r="D140" s="143">
        <f>IF(C140=0,"",C140)</f>
        <v>133.13578786534575</v>
      </c>
      <c r="E140" s="143">
        <f>IF(B54="",0,(C140/B54)*F54- F54)</f>
        <v>19143.076345295645</v>
      </c>
      <c r="F140" s="143">
        <f>IF(E140=0,0,(E139+E140))</f>
        <v>8168.5763452956453</v>
      </c>
      <c r="G140" s="143" t="str">
        <f t="shared" si="10"/>
        <v/>
      </c>
      <c r="H140" s="138"/>
      <c r="I140" s="138"/>
      <c r="J140" s="138"/>
      <c r="K140" s="138"/>
      <c r="L140" s="138"/>
      <c r="M140" s="138"/>
      <c r="N140" s="138"/>
      <c r="O140" s="138"/>
      <c r="P140" s="138"/>
      <c r="Q140" s="142"/>
      <c r="R140" s="142"/>
      <c r="S140" s="142"/>
    </row>
    <row r="141" spans="1:19" x14ac:dyDescent="0.3">
      <c r="A141" s="143"/>
      <c r="B141" s="143"/>
      <c r="C141" s="143"/>
      <c r="D141" s="143"/>
      <c r="E141" s="143"/>
      <c r="F141" s="143"/>
      <c r="G141" s="143" t="str">
        <f t="shared" si="10"/>
        <v/>
      </c>
      <c r="H141" s="138"/>
      <c r="I141" s="138"/>
      <c r="J141" s="138"/>
      <c r="K141" s="138"/>
      <c r="L141" s="138"/>
      <c r="M141" s="138"/>
      <c r="N141" s="138"/>
      <c r="O141" s="138"/>
      <c r="P141" s="138"/>
      <c r="Q141" s="142"/>
      <c r="R141" s="142"/>
      <c r="S141" s="142"/>
    </row>
    <row r="142" spans="1:19" x14ac:dyDescent="0.3">
      <c r="A142" s="143">
        <v>6</v>
      </c>
      <c r="B142" s="143">
        <f>IF(F52="","",($D$19*F52))</f>
        <v>1029931.1</v>
      </c>
      <c r="C142" s="143">
        <f>IF(B142="",0,(((($D$19*0.001*B52)/F41)+D30^-1)^-1)*C30*F30- D52)</f>
        <v>4.0898502495840319</v>
      </c>
      <c r="D142" s="143"/>
      <c r="E142" s="143">
        <f>IF(B52="",0,(($D$19*F52)-F52))</f>
        <v>-54206.900000000023</v>
      </c>
      <c r="F142" s="143"/>
      <c r="G142" s="143" t="str">
        <f t="shared" si="10"/>
        <v/>
      </c>
      <c r="H142" s="138"/>
      <c r="I142" s="138"/>
      <c r="J142" s="138"/>
      <c r="K142" s="138"/>
      <c r="L142" s="138"/>
      <c r="M142" s="138"/>
      <c r="N142" s="138"/>
      <c r="O142" s="138"/>
      <c r="P142" s="138"/>
      <c r="Q142" s="142"/>
      <c r="R142" s="142"/>
      <c r="S142" s="142"/>
    </row>
    <row r="143" spans="1:19" x14ac:dyDescent="0.3">
      <c r="A143" s="143">
        <v>7</v>
      </c>
      <c r="B143" s="138"/>
      <c r="C143" s="143">
        <f>IF(B53="",0,((((-C142+D53)/(C31*F31))^-1-D31^-1)*F42*1000))</f>
        <v>92.357844264380816</v>
      </c>
      <c r="D143" s="143">
        <f>IF(C143=0,"",C143)</f>
        <v>92.357844264380816</v>
      </c>
      <c r="E143" s="143">
        <f>IF(B53="",0,(C143/B53)*F53- F53)</f>
        <v>51610.591120335739</v>
      </c>
      <c r="F143" s="143">
        <f>IF(E143=0,0,(E142+E143))</f>
        <v>-2596.3088796642842</v>
      </c>
      <c r="G143" s="143">
        <f t="shared" si="10"/>
        <v>-2596.3088796642842</v>
      </c>
      <c r="H143" s="138"/>
      <c r="I143" s="138"/>
      <c r="J143" s="138"/>
      <c r="K143" s="138"/>
      <c r="L143" s="138"/>
      <c r="M143" s="138"/>
      <c r="N143" s="138"/>
      <c r="O143" s="138"/>
      <c r="P143" s="138"/>
      <c r="Q143" s="142"/>
      <c r="R143" s="142"/>
      <c r="S143" s="142"/>
    </row>
    <row r="144" spans="1:19" x14ac:dyDescent="0.3">
      <c r="A144" s="143"/>
      <c r="B144" s="143"/>
      <c r="C144" s="143"/>
      <c r="D144" s="143"/>
      <c r="E144" s="143"/>
      <c r="F144" s="143"/>
      <c r="G144" s="143" t="str">
        <f t="shared" si="10"/>
        <v/>
      </c>
      <c r="H144" s="138"/>
      <c r="I144" s="138"/>
      <c r="J144" s="138"/>
      <c r="K144" s="138"/>
      <c r="L144" s="138"/>
      <c r="M144" s="138"/>
      <c r="N144" s="138"/>
      <c r="O144" s="138"/>
      <c r="P144" s="138"/>
    </row>
    <row r="145" spans="1:16" x14ac:dyDescent="0.3">
      <c r="A145" s="143">
        <v>6</v>
      </c>
      <c r="B145" s="143">
        <f>$B$142</f>
        <v>1029931.1</v>
      </c>
      <c r="C145" s="143">
        <f>$C$142</f>
        <v>4.0898502495840319</v>
      </c>
      <c r="D145" s="143"/>
      <c r="E145" s="143">
        <f>$E$142</f>
        <v>-54206.900000000023</v>
      </c>
      <c r="F145" s="143"/>
      <c r="G145" s="143" t="str">
        <f t="shared" si="10"/>
        <v/>
      </c>
      <c r="H145" s="138"/>
      <c r="I145" s="138"/>
      <c r="J145" s="138"/>
      <c r="K145" s="138"/>
      <c r="L145" s="138"/>
      <c r="M145" s="138"/>
      <c r="N145" s="138"/>
      <c r="O145" s="138"/>
      <c r="P145" s="138"/>
    </row>
    <row r="146" spans="1:16" x14ac:dyDescent="0.3">
      <c r="A146" s="143">
        <v>8</v>
      </c>
      <c r="B146" s="143"/>
      <c r="C146" s="143">
        <f>IF(B54="",0,((((-C145+D54)/(C32*F32))^-1-D32^-1)*F43*1000))</f>
        <v>135.17820150659134</v>
      </c>
      <c r="D146" s="143">
        <f>IF(C146=0,"",C146)</f>
        <v>135.17820150659134</v>
      </c>
      <c r="E146" s="143">
        <f>IF(B54="",0,(C146/B54)*F54- F54)</f>
        <v>53566.828751854599</v>
      </c>
      <c r="F146" s="143">
        <f>IF(E146=0,0,(E145+E146))</f>
        <v>-640.07124814542476</v>
      </c>
      <c r="G146" s="143">
        <f t="shared" si="10"/>
        <v>-640.07124814542476</v>
      </c>
      <c r="H146" s="138"/>
      <c r="I146" s="138"/>
      <c r="J146" s="138"/>
      <c r="K146" s="138"/>
      <c r="L146" s="138"/>
      <c r="M146" s="138"/>
      <c r="N146" s="138"/>
      <c r="O146" s="138"/>
      <c r="P146" s="138"/>
    </row>
    <row r="147" spans="1:16" x14ac:dyDescent="0.3">
      <c r="A147" s="143"/>
      <c r="B147" s="143"/>
      <c r="C147" s="143"/>
      <c r="D147" s="143"/>
      <c r="E147" s="143"/>
      <c r="F147" s="143"/>
      <c r="G147" s="143" t="str">
        <f t="shared" si="10"/>
        <v/>
      </c>
      <c r="H147" s="138"/>
      <c r="I147" s="138"/>
      <c r="J147" s="138"/>
      <c r="K147" s="138"/>
      <c r="L147" s="138"/>
      <c r="M147" s="138"/>
      <c r="N147" s="138"/>
      <c r="O147" s="138"/>
      <c r="P147" s="138"/>
    </row>
    <row r="148" spans="1:16" x14ac:dyDescent="0.3">
      <c r="A148" s="143">
        <v>7</v>
      </c>
      <c r="B148" s="143">
        <f>IF(F53="","",($D$19*F53))</f>
        <v>1871500</v>
      </c>
      <c r="C148" s="143">
        <f>IF(B148="",0,(((($D$19*0.001*B53)/F42)+D31^-1)^-1)*C31*F31- D53)</f>
        <v>8.5483870967741495</v>
      </c>
      <c r="D148" s="143"/>
      <c r="E148" s="143">
        <f>IF(B53="",0,(($D$19*F53)-F53))</f>
        <v>-98500</v>
      </c>
      <c r="F148" s="143"/>
      <c r="G148" s="143" t="str">
        <f t="shared" si="10"/>
        <v/>
      </c>
      <c r="H148" s="138"/>
      <c r="I148" s="138"/>
      <c r="J148" s="138"/>
      <c r="K148" s="138"/>
      <c r="L148" s="138"/>
      <c r="M148" s="138"/>
      <c r="N148" s="138"/>
      <c r="O148" s="138"/>
      <c r="P148" s="138"/>
    </row>
    <row r="149" spans="1:16" x14ac:dyDescent="0.3">
      <c r="A149" s="143">
        <v>8</v>
      </c>
      <c r="B149" s="143"/>
      <c r="C149" s="143">
        <f>IF(B54="",0,((((-C148+D54)/(C32*F32))^-1-D32^-1)*F43*1000))</f>
        <v>138.5856261464065</v>
      </c>
      <c r="D149" s="143">
        <f>IF(C149=0,"",C149)</f>
        <v>138.5856261464065</v>
      </c>
      <c r="E149" s="143">
        <f>IF(B54="",0,(C149/B54)*F54- F54)</f>
        <v>110997.08664685814</v>
      </c>
      <c r="F149" s="143">
        <f>IF(E149=0,0,(E148+E149))</f>
        <v>12497.086646858137</v>
      </c>
      <c r="G149" s="143" t="str">
        <f t="shared" si="10"/>
        <v/>
      </c>
      <c r="H149" s="138"/>
      <c r="I149" s="138"/>
      <c r="J149" s="138"/>
      <c r="K149" s="138"/>
      <c r="L149" s="138"/>
      <c r="M149" s="138"/>
      <c r="N149" s="138"/>
      <c r="O149" s="138"/>
      <c r="P149" s="138"/>
    </row>
    <row r="150" spans="1:16" x14ac:dyDescent="0.3">
      <c r="A150" s="143"/>
      <c r="B150" s="143"/>
      <c r="C150" s="143"/>
      <c r="D150" s="143"/>
      <c r="E150" s="143"/>
      <c r="F150" s="143"/>
      <c r="G150" s="143" t="str">
        <f t="shared" si="10"/>
        <v/>
      </c>
      <c r="H150" s="138"/>
      <c r="I150" s="138"/>
      <c r="J150" s="138"/>
      <c r="K150" s="138"/>
      <c r="L150" s="138"/>
      <c r="M150" s="138"/>
      <c r="N150" s="138"/>
      <c r="O150" s="138"/>
      <c r="P150" s="138"/>
    </row>
    <row r="151" spans="1:16" x14ac:dyDescent="0.3">
      <c r="A151" s="143">
        <v>2</v>
      </c>
      <c r="B151" s="143">
        <f>$B$88</f>
        <v>2342518.5499999998</v>
      </c>
      <c r="C151" s="143">
        <f>IF(B151="",0,(((($D$19*0.001*B48)/F37)+D26^-1)^-1)*C26*F26- D48)</f>
        <v>10.51716872615458</v>
      </c>
      <c r="D151" s="143"/>
      <c r="E151" s="143">
        <f>IF(B48="",0,(($D$19*F48)-F48))</f>
        <v>-123290.45000000019</v>
      </c>
      <c r="F151" s="143"/>
      <c r="G151" s="143" t="str">
        <f t="shared" si="10"/>
        <v/>
      </c>
      <c r="H151" s="138"/>
      <c r="I151" s="138"/>
      <c r="J151" s="138"/>
      <c r="K151" s="138"/>
      <c r="L151" s="138"/>
      <c r="M151" s="138"/>
      <c r="N151" s="138"/>
      <c r="O151" s="138"/>
      <c r="P151" s="138"/>
    </row>
    <row r="152" spans="1:16" x14ac:dyDescent="0.3">
      <c r="A152" s="143">
        <v>1</v>
      </c>
      <c r="B152" s="143"/>
      <c r="C152" s="143">
        <f>IF(B47="",0,((((-C151+$D$47)/($C$25*$F$25))^-1-$D$25^-1)*$F$36*1000))</f>
        <v>415.56456281428848</v>
      </c>
      <c r="D152" s="143">
        <f>IF(C152=0,"",C152)</f>
        <v>415.56456281428848</v>
      </c>
      <c r="E152" s="143">
        <f>IF($B$47="",0,(C152/$B$47)*$F$47-F$47)</f>
        <v>140066.92573934724</v>
      </c>
      <c r="F152" s="143">
        <f>IF(E151=0,0,(E151+E152))</f>
        <v>16776.47573934705</v>
      </c>
      <c r="G152" s="143" t="str">
        <f t="shared" si="10"/>
        <v/>
      </c>
      <c r="H152" s="138"/>
      <c r="I152" s="138"/>
      <c r="J152" s="138"/>
      <c r="K152" s="138"/>
      <c r="L152" s="138"/>
      <c r="M152" s="138"/>
      <c r="N152" s="138"/>
      <c r="O152" s="138"/>
      <c r="P152" s="138"/>
    </row>
    <row r="153" spans="1:16" x14ac:dyDescent="0.3">
      <c r="A153" s="143"/>
      <c r="B153" s="143"/>
      <c r="C153" s="143"/>
      <c r="D153" s="143"/>
      <c r="E153" s="143"/>
      <c r="F153" s="143"/>
      <c r="G153" s="143" t="str">
        <f t="shared" si="10"/>
        <v/>
      </c>
      <c r="H153" s="138"/>
      <c r="I153" s="138"/>
      <c r="J153" s="138"/>
      <c r="K153" s="138"/>
      <c r="L153" s="138"/>
      <c r="M153" s="138"/>
      <c r="N153" s="138"/>
      <c r="O153" s="138"/>
      <c r="P153" s="138"/>
    </row>
    <row r="154" spans="1:16" x14ac:dyDescent="0.3">
      <c r="A154" s="143">
        <v>3</v>
      </c>
      <c r="B154" s="143">
        <f>$B$106</f>
        <v>954242.7</v>
      </c>
      <c r="C154" s="143">
        <f>IF(B154="",0,(((($D$19*0.001*B49)/F38)+D27^-1)^-1)*C27*F27- D49)</f>
        <v>4.5046448477919228</v>
      </c>
      <c r="D154" s="143"/>
      <c r="E154" s="143">
        <f>IF(B49="",0,(($D$19*F49)-F49))</f>
        <v>-50223.300000000047</v>
      </c>
      <c r="F154" s="143"/>
      <c r="G154" s="143" t="str">
        <f t="shared" si="10"/>
        <v/>
      </c>
      <c r="H154" s="138"/>
      <c r="I154" s="138"/>
      <c r="J154" s="138"/>
      <c r="K154" s="138"/>
      <c r="L154" s="138"/>
      <c r="M154" s="138"/>
      <c r="N154" s="138"/>
      <c r="O154" s="138"/>
      <c r="P154" s="138"/>
    </row>
    <row r="155" spans="1:16" x14ac:dyDescent="0.3">
      <c r="A155" s="143">
        <v>1</v>
      </c>
      <c r="B155" s="143"/>
      <c r="C155" s="143">
        <f>IF(B47="",0,((((-C154+$D$47)/($C$25*$F$25))^-1-$D$25^-1)*$F$36*1000))</f>
        <v>393.34964508222345</v>
      </c>
      <c r="D155" s="143">
        <f>IF(C155=0,"",C155)</f>
        <v>393.34964508222345</v>
      </c>
      <c r="E155" s="143">
        <f>IF($B$47="",0,(C155/$B$47)*$F$47-F$47)</f>
        <v>57234.197253570426</v>
      </c>
      <c r="F155" s="143">
        <f>IF(E154=0,0,(E154+E155))</f>
        <v>7010.8972535703797</v>
      </c>
      <c r="G155" s="143" t="str">
        <f t="shared" si="10"/>
        <v/>
      </c>
      <c r="H155" s="138"/>
      <c r="I155" s="138"/>
      <c r="J155" s="138"/>
      <c r="K155" s="138"/>
      <c r="L155" s="138"/>
      <c r="M155" s="138"/>
      <c r="N155" s="138"/>
      <c r="O155" s="138"/>
      <c r="P155" s="138"/>
    </row>
    <row r="156" spans="1:16" x14ac:dyDescent="0.3">
      <c r="A156" s="143"/>
      <c r="B156" s="143"/>
      <c r="C156" s="143"/>
      <c r="D156" s="143"/>
      <c r="E156" s="143"/>
      <c r="F156" s="143"/>
      <c r="G156" s="143" t="str">
        <f t="shared" si="10"/>
        <v/>
      </c>
      <c r="H156" s="138"/>
      <c r="I156" s="138"/>
      <c r="J156" s="138"/>
      <c r="K156" s="138"/>
      <c r="L156" s="138"/>
      <c r="M156" s="138"/>
      <c r="N156" s="138"/>
      <c r="O156" s="138"/>
      <c r="P156" s="138"/>
    </row>
    <row r="157" spans="1:16" x14ac:dyDescent="0.3">
      <c r="A157" s="143">
        <v>4</v>
      </c>
      <c r="B157" s="143">
        <f>$B$121</f>
        <v>557183.54999999993</v>
      </c>
      <c r="C157" s="143">
        <f>IF(B157="",0,(((($D$19*0.001*B50)/F39)+D28^-1)^-1)*C28*F28- D50)</f>
        <v>2.756878744485519</v>
      </c>
      <c r="D157" s="143"/>
      <c r="E157" s="143">
        <f>IF(B50="",0,(($D$19*F50)-F50))</f>
        <v>-29325.45000000007</v>
      </c>
      <c r="F157" s="143"/>
      <c r="G157" s="143" t="str">
        <f t="shared" si="10"/>
        <v/>
      </c>
      <c r="H157" s="138"/>
      <c r="I157" s="138"/>
      <c r="J157" s="138"/>
      <c r="K157" s="138"/>
      <c r="L157" s="138"/>
      <c r="M157" s="138"/>
      <c r="N157" s="138"/>
      <c r="O157" s="138"/>
      <c r="P157" s="138"/>
    </row>
    <row r="158" spans="1:16" x14ac:dyDescent="0.3">
      <c r="A158" s="143">
        <v>1</v>
      </c>
      <c r="B158" s="143"/>
      <c r="C158" s="143">
        <f>IF(B47="",0,((((-C157+$D$47)/($C$25*$F$25))^-1-$D$25^-1)*$F$36*1000))</f>
        <v>387.29866196093081</v>
      </c>
      <c r="D158" s="143">
        <f>IF(C158=0,"",C158)</f>
        <v>387.29866196093081</v>
      </c>
      <c r="E158" s="143">
        <f>IF($B$47="",0,(C158/$B$47)*$F$47-F$47)</f>
        <v>34671.906093941769</v>
      </c>
      <c r="F158" s="143">
        <f>IF(E157=0,0,(E157+E158))</f>
        <v>5346.4560939416988</v>
      </c>
      <c r="G158" s="143" t="str">
        <f t="shared" si="10"/>
        <v/>
      </c>
      <c r="H158" s="138"/>
      <c r="I158" s="138"/>
      <c r="J158" s="138"/>
      <c r="K158" s="138"/>
      <c r="L158" s="138"/>
      <c r="M158" s="138"/>
      <c r="N158" s="138"/>
      <c r="O158" s="138"/>
      <c r="P158" s="138"/>
    </row>
    <row r="159" spans="1:16" x14ac:dyDescent="0.3">
      <c r="A159" s="143"/>
      <c r="B159" s="143"/>
      <c r="C159" s="143"/>
      <c r="D159" s="143"/>
      <c r="E159" s="143"/>
      <c r="F159" s="143"/>
      <c r="G159" s="143" t="str">
        <f t="shared" si="10"/>
        <v/>
      </c>
      <c r="H159" s="138"/>
      <c r="I159" s="138"/>
      <c r="J159" s="138"/>
      <c r="K159" s="138"/>
      <c r="L159" s="138"/>
      <c r="M159" s="138"/>
      <c r="N159" s="138"/>
      <c r="O159" s="138"/>
      <c r="P159" s="138"/>
    </row>
    <row r="160" spans="1:16" x14ac:dyDescent="0.3">
      <c r="A160" s="143">
        <v>5</v>
      </c>
      <c r="B160" s="143">
        <f>$B$133</f>
        <v>208515.5</v>
      </c>
      <c r="C160" s="143">
        <f>IF(B160="",0,(((($D$19*0.001*B51)/F40)+D29^-1)^-1)*C29*F29- D51)</f>
        <v>1.317507418397625</v>
      </c>
      <c r="D160" s="143"/>
      <c r="E160" s="143">
        <f>IF(B51="",0,(($D$19*F51)-F51))</f>
        <v>-10974.5</v>
      </c>
      <c r="F160" s="143"/>
      <c r="G160" s="143" t="str">
        <f t="shared" si="10"/>
        <v/>
      </c>
      <c r="H160" s="138"/>
      <c r="I160" s="138"/>
      <c r="J160" s="138"/>
      <c r="K160" s="138"/>
      <c r="L160" s="138"/>
      <c r="M160" s="138"/>
      <c r="N160" s="138"/>
      <c r="O160" s="138"/>
      <c r="P160" s="138"/>
    </row>
    <row r="161" spans="1:16" x14ac:dyDescent="0.3">
      <c r="A161" s="143">
        <v>1</v>
      </c>
      <c r="B161" s="143"/>
      <c r="C161" s="143">
        <f>IF(B47="",0,((((-C160+$D$47)/($C$25*$F$25))^-1-$D$25^-1)*$F$36*1000))</f>
        <v>382.44276262554138</v>
      </c>
      <c r="D161" s="143">
        <f>IF(C161=0,"",C161)</f>
        <v>382.44276262554138</v>
      </c>
      <c r="E161" s="143">
        <f>IF($B$47="",0,(C161/$B$47)*$F$47-F$47)</f>
        <v>16565.721949852072</v>
      </c>
      <c r="F161" s="143">
        <f>IF(E160=0,0,(E160+E161))</f>
        <v>5591.2219498520717</v>
      </c>
      <c r="G161" s="143" t="str">
        <f t="shared" si="10"/>
        <v/>
      </c>
      <c r="H161" s="138"/>
      <c r="I161" s="138"/>
      <c r="J161" s="138"/>
      <c r="K161" s="138"/>
      <c r="L161" s="138"/>
      <c r="M161" s="138"/>
      <c r="N161" s="138"/>
      <c r="O161" s="138"/>
      <c r="P161" s="138"/>
    </row>
    <row r="162" spans="1:16" x14ac:dyDescent="0.3">
      <c r="A162" s="143"/>
      <c r="B162" s="143"/>
      <c r="C162" s="143"/>
      <c r="D162" s="143"/>
      <c r="E162" s="143"/>
      <c r="F162" s="143"/>
      <c r="G162" s="143" t="str">
        <f t="shared" si="10"/>
        <v/>
      </c>
      <c r="H162" s="138"/>
      <c r="I162" s="138"/>
      <c r="J162" s="138"/>
      <c r="K162" s="138"/>
      <c r="L162" s="138"/>
      <c r="M162" s="138"/>
      <c r="N162" s="138"/>
      <c r="O162" s="138"/>
      <c r="P162" s="138"/>
    </row>
    <row r="163" spans="1:16" x14ac:dyDescent="0.3">
      <c r="A163" s="143">
        <v>6</v>
      </c>
      <c r="B163" s="143">
        <f>$B$142</f>
        <v>1029931.1</v>
      </c>
      <c r="C163" s="143">
        <f>IF(B163="",0,(((($D$19*0.001*B52)/F41)+D30^-1)^-1)*C30*F30- D52)</f>
        <v>4.0898502495840319</v>
      </c>
      <c r="D163" s="143"/>
      <c r="E163" s="143">
        <f>IF(B52="",0,(($D$19*F52)-F52))</f>
        <v>-54206.900000000023</v>
      </c>
      <c r="F163" s="143"/>
      <c r="G163" s="143" t="str">
        <f t="shared" si="10"/>
        <v/>
      </c>
      <c r="H163" s="138"/>
      <c r="I163" s="138"/>
      <c r="J163" s="138"/>
      <c r="K163" s="138"/>
      <c r="L163" s="138"/>
      <c r="M163" s="138"/>
      <c r="N163" s="138"/>
      <c r="O163" s="138"/>
      <c r="P163" s="138"/>
    </row>
    <row r="164" spans="1:16" x14ac:dyDescent="0.3">
      <c r="A164" s="143">
        <v>1</v>
      </c>
      <c r="B164" s="143"/>
      <c r="C164" s="143">
        <f>IF(B47="",0,((((-C163+$D$47)/($C$25*$F$25))^-1-$D$25^-1)*$F$36*1000))</f>
        <v>391.89787265017924</v>
      </c>
      <c r="D164" s="143">
        <f>IF(C164=0,"",C164)</f>
        <v>391.89787265017924</v>
      </c>
      <c r="E164" s="143">
        <f>IF($B$47="",0,(C164/$B$47)*$F$47-F$47)</f>
        <v>51820.975690607913</v>
      </c>
      <c r="F164" s="143">
        <f>IF(E163=0,0,(E163+E164))</f>
        <v>-2385.9243093921104</v>
      </c>
      <c r="G164" s="143">
        <f t="shared" si="10"/>
        <v>-2385.9243093921104</v>
      </c>
      <c r="H164" s="138"/>
      <c r="I164" s="138"/>
      <c r="J164" s="138"/>
      <c r="K164" s="138"/>
      <c r="L164" s="138"/>
      <c r="M164" s="138"/>
      <c r="N164" s="138"/>
      <c r="O164" s="138"/>
      <c r="P164" s="138"/>
    </row>
    <row r="165" spans="1:16" x14ac:dyDescent="0.3">
      <c r="A165" s="143"/>
      <c r="B165" s="143"/>
      <c r="C165" s="143"/>
      <c r="D165" s="143"/>
      <c r="E165" s="143"/>
      <c r="F165" s="143"/>
      <c r="G165" s="143" t="str">
        <f t="shared" si="10"/>
        <v/>
      </c>
      <c r="H165" s="138"/>
      <c r="I165" s="138"/>
      <c r="J165" s="138"/>
      <c r="K165" s="138"/>
      <c r="L165" s="138"/>
      <c r="M165" s="138"/>
      <c r="N165" s="138"/>
      <c r="O165" s="138"/>
      <c r="P165" s="138"/>
    </row>
    <row r="166" spans="1:16" x14ac:dyDescent="0.3">
      <c r="A166" s="143">
        <v>7</v>
      </c>
      <c r="B166" s="143">
        <f>$B$148</f>
        <v>1871500</v>
      </c>
      <c r="C166" s="143">
        <f>IF(B166="",0,(((($D$19*0.001*B53)/F42)+D31^-1)^-1)*C31*F31- D53)</f>
        <v>8.5483870967741495</v>
      </c>
      <c r="D166" s="143"/>
      <c r="E166" s="143">
        <f>IF(B53="",0,(($D$19*F53)-F53))</f>
        <v>-98500</v>
      </c>
      <c r="F166" s="143"/>
      <c r="G166" s="143" t="str">
        <f t="shared" si="10"/>
        <v/>
      </c>
      <c r="H166" s="138"/>
      <c r="I166" s="138"/>
      <c r="J166" s="138"/>
      <c r="K166" s="138"/>
      <c r="L166" s="138"/>
      <c r="M166" s="138"/>
      <c r="N166" s="138"/>
      <c r="O166" s="138"/>
      <c r="P166" s="138"/>
    </row>
    <row r="167" spans="1:16" x14ac:dyDescent="0.3">
      <c r="A167" s="143">
        <v>1</v>
      </c>
      <c r="B167" s="143"/>
      <c r="C167" s="143">
        <f>IF(B47="",0,((((-C166+$D$47)/($C$25*$F$25))^-1-$D$25^-1)*$F$36*1000))</f>
        <v>408.03991577405458</v>
      </c>
      <c r="D167" s="143">
        <f>IF(C167=0,"",C167)</f>
        <v>408.03991577405458</v>
      </c>
      <c r="E167" s="143">
        <f>IF($B$47="",0,(C167/$B$47)*$F$47-F$47)</f>
        <v>112009.78626431129</v>
      </c>
      <c r="F167" s="143">
        <f>IF(E166=0,0,(E166+E167))</f>
        <v>13509.786264311289</v>
      </c>
      <c r="G167" s="143" t="str">
        <f t="shared" si="10"/>
        <v/>
      </c>
      <c r="H167" s="138"/>
      <c r="I167" s="138"/>
      <c r="J167" s="138"/>
      <c r="K167" s="138"/>
      <c r="L167" s="138"/>
      <c r="M167" s="138"/>
      <c r="N167" s="138"/>
      <c r="O167" s="138"/>
      <c r="P167" s="138"/>
    </row>
    <row r="168" spans="1:16" x14ac:dyDescent="0.3">
      <c r="A168" s="143"/>
      <c r="B168" s="143"/>
      <c r="C168" s="143"/>
      <c r="D168" s="143"/>
      <c r="E168" s="143"/>
      <c r="F168" s="143"/>
      <c r="G168" s="143" t="str">
        <f t="shared" si="10"/>
        <v/>
      </c>
      <c r="H168" s="138"/>
      <c r="I168" s="138"/>
      <c r="J168" s="138"/>
      <c r="K168" s="138"/>
      <c r="L168" s="138"/>
      <c r="M168" s="138"/>
      <c r="N168" s="138"/>
      <c r="O168" s="138"/>
      <c r="P168" s="138"/>
    </row>
    <row r="169" spans="1:16" x14ac:dyDescent="0.3">
      <c r="A169" s="143">
        <v>8</v>
      </c>
      <c r="B169" s="143">
        <f>IF(B54="","",($D$19*F54))</f>
        <v>2113547.65</v>
      </c>
      <c r="C169" s="143">
        <f>IF(B169="",0,(((($D$19*0.001*B54)/F43)+D32^-1)^-1)*C32*F32- D54)</f>
        <v>9.9266055045871155</v>
      </c>
      <c r="D169" s="143"/>
      <c r="E169" s="143">
        <f>IF(B54="",0,(($D$19*F54)-F54))</f>
        <v>-111239.35000000009</v>
      </c>
      <c r="F169" s="143"/>
      <c r="G169" s="143" t="str">
        <f t="shared" si="10"/>
        <v/>
      </c>
      <c r="H169" s="138"/>
      <c r="I169" s="138"/>
      <c r="J169" s="138"/>
      <c r="K169" s="138"/>
      <c r="L169" s="138"/>
      <c r="M169" s="138"/>
      <c r="N169" s="138"/>
      <c r="O169" s="138"/>
      <c r="P169" s="138"/>
    </row>
    <row r="170" spans="1:16" x14ac:dyDescent="0.3">
      <c r="A170" s="143">
        <v>1</v>
      </c>
      <c r="B170" s="143"/>
      <c r="C170" s="143">
        <f>IF(B47="",0,((((-C169+$D$47)/($C$25*$F$25))^-1-$D$25^-1)*$F$36*1000))</f>
        <v>413.28064074191155</v>
      </c>
      <c r="D170" s="143">
        <f>IF(C170=0,"",C170)</f>
        <v>413.28064074191155</v>
      </c>
      <c r="E170" s="143">
        <f>IF($B$47="",0,(C170/$B$47)*$F$47-F$47)</f>
        <v>131550.86913334858</v>
      </c>
      <c r="F170" s="143">
        <f>IF(E169=0,0,(E169+E170))</f>
        <v>20311.519133348484</v>
      </c>
      <c r="G170" s="143" t="str">
        <f t="shared" si="10"/>
        <v/>
      </c>
      <c r="H170" s="138"/>
      <c r="I170" s="138"/>
      <c r="J170" s="138"/>
      <c r="K170" s="138"/>
      <c r="L170" s="138"/>
      <c r="M170" s="138"/>
      <c r="N170" s="138"/>
      <c r="O170" s="138"/>
      <c r="P170" s="138"/>
    </row>
    <row r="171" spans="1:16" x14ac:dyDescent="0.3">
      <c r="A171" s="143"/>
      <c r="B171" s="143"/>
      <c r="C171" s="143"/>
      <c r="D171" s="143"/>
      <c r="E171" s="143"/>
      <c r="F171" s="143"/>
      <c r="G171" s="143" t="str">
        <f t="shared" si="10"/>
        <v/>
      </c>
      <c r="H171" s="138"/>
      <c r="I171" s="138"/>
      <c r="J171" s="138"/>
      <c r="K171" s="138"/>
      <c r="L171" s="138"/>
      <c r="M171" s="138"/>
      <c r="N171" s="138"/>
      <c r="O171" s="138"/>
      <c r="P171" s="138"/>
    </row>
    <row r="172" spans="1:16" x14ac:dyDescent="0.3">
      <c r="A172" s="143">
        <v>3</v>
      </c>
      <c r="B172" s="143">
        <f>$B$106</f>
        <v>954242.7</v>
      </c>
      <c r="C172" s="143">
        <f>$C$154</f>
        <v>4.5046448477919228</v>
      </c>
      <c r="D172" s="143"/>
      <c r="E172" s="143">
        <f>IF(B49="",0,(($D$19*F49)-F49))</f>
        <v>-50223.300000000047</v>
      </c>
      <c r="F172" s="143"/>
      <c r="G172" s="143" t="str">
        <f t="shared" si="10"/>
        <v/>
      </c>
      <c r="H172" s="138"/>
      <c r="I172" s="138"/>
      <c r="J172" s="138"/>
      <c r="K172" s="138"/>
      <c r="L172" s="138"/>
      <c r="M172" s="138"/>
      <c r="N172" s="138"/>
      <c r="O172" s="138"/>
      <c r="P172" s="138"/>
    </row>
    <row r="173" spans="1:16" x14ac:dyDescent="0.3">
      <c r="A173" s="143">
        <v>2</v>
      </c>
      <c r="B173" s="143"/>
      <c r="C173" s="143">
        <f>IF(B48="",0,((((-C172+$D$48)/($C$26*$F$26))^-1-$D$26^-1)*$F$37*1000))</f>
        <v>271.86773728675263</v>
      </c>
      <c r="D173" s="143">
        <f>IF(C173=0,"",C173)</f>
        <v>271.86773728675263</v>
      </c>
      <c r="E173" s="143">
        <f>IF($B$48="",0,(C173/$B$48)*$F$48-$F$48)</f>
        <v>54393.681997406762</v>
      </c>
      <c r="F173" s="143">
        <f>IF(E172=0,0,(E172+E173))</f>
        <v>4170.3819974067155</v>
      </c>
      <c r="G173" s="143" t="str">
        <f t="shared" si="10"/>
        <v/>
      </c>
      <c r="H173" s="138"/>
      <c r="I173" s="138"/>
      <c r="J173" s="138"/>
      <c r="K173" s="138"/>
      <c r="L173" s="138"/>
      <c r="M173" s="138"/>
      <c r="N173" s="138"/>
      <c r="O173" s="138"/>
      <c r="P173" s="138"/>
    </row>
    <row r="174" spans="1:16" x14ac:dyDescent="0.3">
      <c r="A174" s="143"/>
      <c r="B174" s="143"/>
      <c r="C174" s="143"/>
      <c r="D174" s="143"/>
      <c r="E174" s="143"/>
      <c r="F174" s="143"/>
      <c r="G174" s="143" t="str">
        <f t="shared" si="10"/>
        <v/>
      </c>
      <c r="H174" s="138"/>
      <c r="I174" s="138"/>
      <c r="J174" s="138"/>
      <c r="K174" s="138"/>
      <c r="L174" s="138"/>
      <c r="M174" s="138"/>
      <c r="N174" s="138"/>
      <c r="O174" s="138"/>
      <c r="P174" s="138"/>
    </row>
    <row r="175" spans="1:16" x14ac:dyDescent="0.3">
      <c r="A175" s="143">
        <v>4</v>
      </c>
      <c r="B175" s="143">
        <f>$B$124</f>
        <v>557183.54999999993</v>
      </c>
      <c r="C175" s="143">
        <f>$C$157</f>
        <v>2.756878744485519</v>
      </c>
      <c r="D175" s="143"/>
      <c r="E175" s="143">
        <f>IF(B50="",0,(($D$19*F50)-F50))</f>
        <v>-29325.45000000007</v>
      </c>
      <c r="F175" s="143"/>
      <c r="G175" s="143" t="str">
        <f t="shared" si="10"/>
        <v/>
      </c>
      <c r="H175" s="138"/>
      <c r="I175" s="138"/>
      <c r="J175" s="138"/>
      <c r="K175" s="138"/>
      <c r="L175" s="138"/>
      <c r="M175" s="138"/>
      <c r="N175" s="138"/>
      <c r="O175" s="138"/>
      <c r="P175" s="138"/>
    </row>
    <row r="176" spans="1:16" x14ac:dyDescent="0.3">
      <c r="A176" s="143">
        <v>2</v>
      </c>
      <c r="B176" s="143"/>
      <c r="C176" s="143">
        <f>IF(B48="",0,((((-C175+$D$48)/($C$26*$F$26))^-1-$D$26^-1)*$F$37*1000))</f>
        <v>269.50617229966076</v>
      </c>
      <c r="D176" s="143">
        <f>IF(C176=0,"",C176)</f>
        <v>269.50617229966076</v>
      </c>
      <c r="E176" s="143">
        <f>IF($B$48="",0,(C176/$B$48)*$F$48-$F$48)</f>
        <v>32502.072225767653</v>
      </c>
      <c r="F176" s="143">
        <f>IF(E175=0,0,(E175+E176))</f>
        <v>3176.6222257675836</v>
      </c>
      <c r="G176" s="143" t="str">
        <f t="shared" si="10"/>
        <v/>
      </c>
      <c r="H176" s="138"/>
      <c r="I176" s="138"/>
      <c r="J176" s="138"/>
      <c r="K176" s="138"/>
      <c r="L176" s="138"/>
      <c r="M176" s="138"/>
      <c r="N176" s="138"/>
      <c r="O176" s="138"/>
      <c r="P176" s="138"/>
    </row>
    <row r="177" spans="1:18" x14ac:dyDescent="0.3">
      <c r="A177" s="143"/>
      <c r="B177" s="143"/>
      <c r="C177" s="143"/>
      <c r="D177" s="143"/>
      <c r="E177" s="143"/>
      <c r="F177" s="143"/>
      <c r="G177" s="143" t="str">
        <f t="shared" si="10"/>
        <v/>
      </c>
      <c r="H177" s="138"/>
      <c r="I177" s="138"/>
      <c r="J177" s="138"/>
      <c r="K177" s="138"/>
      <c r="L177" s="138"/>
      <c r="M177" s="138"/>
      <c r="N177" s="138"/>
      <c r="O177" s="138"/>
      <c r="P177" s="138"/>
    </row>
    <row r="178" spans="1:18" x14ac:dyDescent="0.3">
      <c r="A178" s="143">
        <v>5</v>
      </c>
      <c r="B178" s="143">
        <f>$B$160</f>
        <v>208515.5</v>
      </c>
      <c r="C178" s="143">
        <f>$C$139</f>
        <v>1.317507418397625</v>
      </c>
      <c r="D178" s="143"/>
      <c r="E178" s="143">
        <f>IF(B51="",0,(($D$19*F51)-F51))</f>
        <v>-10974.5</v>
      </c>
      <c r="F178" s="143"/>
      <c r="G178" s="143" t="str">
        <f t="shared" si="10"/>
        <v/>
      </c>
      <c r="H178" s="138"/>
      <c r="I178" s="138"/>
      <c r="J178" s="138"/>
      <c r="K178" s="138"/>
      <c r="L178" s="138"/>
      <c r="M178" s="138"/>
      <c r="N178" s="138"/>
      <c r="O178" s="138"/>
      <c r="P178" s="138"/>
    </row>
    <row r="179" spans="1:18" x14ac:dyDescent="0.3">
      <c r="A179" s="143">
        <v>2</v>
      </c>
      <c r="B179" s="143"/>
      <c r="C179" s="143">
        <f>IF(B48="",0,((((-C178+$D$48)/($C$26*$F$26))^-1-$D$26^-1)*$F$37*1000))</f>
        <v>267.5886520537793</v>
      </c>
      <c r="D179" s="143">
        <f>IF(C179=0,"",C179)</f>
        <v>267.5886520537793</v>
      </c>
      <c r="E179" s="143">
        <f>IF($B$48="",0,(C179/$B$48)*$F$48-$F$48)</f>
        <v>14726.738842396531</v>
      </c>
      <c r="F179" s="143">
        <f>IF(E178=0,0,(E178+E179))</f>
        <v>3752.2388423965313</v>
      </c>
      <c r="G179" s="143" t="str">
        <f t="shared" si="10"/>
        <v/>
      </c>
      <c r="H179" s="138"/>
      <c r="I179" s="138"/>
      <c r="J179" s="138"/>
      <c r="K179" s="138"/>
      <c r="L179" s="138"/>
      <c r="M179" s="138"/>
      <c r="N179" s="138"/>
      <c r="O179" s="138"/>
      <c r="P179" s="138"/>
    </row>
    <row r="180" spans="1:18" x14ac:dyDescent="0.3">
      <c r="A180" s="143"/>
      <c r="B180" s="143"/>
      <c r="C180" s="143"/>
      <c r="D180" s="143"/>
      <c r="E180" s="143"/>
      <c r="F180" s="143"/>
      <c r="G180" s="143" t="str">
        <f t="shared" si="10"/>
        <v/>
      </c>
      <c r="H180" s="138"/>
      <c r="I180" s="138"/>
      <c r="J180" s="138"/>
      <c r="K180" s="138"/>
      <c r="L180" s="138"/>
      <c r="M180" s="138"/>
      <c r="N180" s="138"/>
      <c r="O180" s="138"/>
      <c r="P180" s="138"/>
    </row>
    <row r="181" spans="1:18" x14ac:dyDescent="0.3">
      <c r="A181" s="143">
        <v>6</v>
      </c>
      <c r="B181" s="143">
        <f>$B$163</f>
        <v>1029931.1</v>
      </c>
      <c r="C181" s="143">
        <f>$C$142</f>
        <v>4.0898502495840319</v>
      </c>
      <c r="D181" s="143"/>
      <c r="E181" s="143">
        <f>IF(B52="",0,(($D$19*F52)-F52))</f>
        <v>-54206.900000000023</v>
      </c>
      <c r="F181" s="143"/>
      <c r="G181" s="143" t="str">
        <f t="shared" si="10"/>
        <v/>
      </c>
      <c r="H181" s="138"/>
      <c r="I181" s="138"/>
      <c r="J181" s="138"/>
      <c r="K181" s="138"/>
      <c r="L181" s="138"/>
      <c r="M181" s="138"/>
      <c r="N181" s="138"/>
      <c r="O181" s="138"/>
      <c r="P181" s="138"/>
    </row>
    <row r="182" spans="1:18" x14ac:dyDescent="0.3">
      <c r="A182" s="143">
        <v>2</v>
      </c>
      <c r="B182" s="143"/>
      <c r="C182" s="143">
        <f>IF(B48="",0,((((-C181+$D$48)/($C$26*$F$26))^-1-$D$26^-1)*$F$37*1000))</f>
        <v>271.30393421528146</v>
      </c>
      <c r="D182" s="143">
        <f>IF(C182=0,"",C182)</f>
        <v>271.30393421528146</v>
      </c>
      <c r="E182" s="143">
        <f>IF($B$48="",0,(C182/$B$48)*$F$48-$F$48)</f>
        <v>49167.25084003387</v>
      </c>
      <c r="F182" s="143">
        <f>IF(E181=0,0,(E181+E182))</f>
        <v>-5039.6491599661531</v>
      </c>
      <c r="G182" s="143">
        <f t="shared" si="10"/>
        <v>-5039.6491599661531</v>
      </c>
      <c r="H182" s="138"/>
      <c r="I182" s="138"/>
      <c r="J182" s="138"/>
      <c r="K182" s="138"/>
      <c r="L182" s="138"/>
      <c r="M182" s="138"/>
      <c r="N182" s="138"/>
      <c r="O182" s="138"/>
      <c r="P182" s="138"/>
    </row>
    <row r="183" spans="1:18" x14ac:dyDescent="0.3">
      <c r="A183" s="143"/>
      <c r="B183" s="143"/>
      <c r="C183" s="143"/>
      <c r="D183" s="143"/>
      <c r="E183" s="143"/>
      <c r="F183" s="143"/>
      <c r="G183" s="143" t="str">
        <f t="shared" si="10"/>
        <v/>
      </c>
      <c r="H183" s="138"/>
      <c r="I183" s="138"/>
      <c r="J183" s="138"/>
      <c r="K183" s="138"/>
      <c r="L183" s="138"/>
      <c r="M183" s="138"/>
      <c r="N183" s="138"/>
      <c r="O183" s="138"/>
      <c r="P183" s="138"/>
    </row>
    <row r="184" spans="1:18" x14ac:dyDescent="0.3">
      <c r="A184" s="143">
        <v>7</v>
      </c>
      <c r="B184" s="143">
        <f>$B$166</f>
        <v>1871500</v>
      </c>
      <c r="C184" s="143">
        <f>$C$166</f>
        <v>8.5483870967741495</v>
      </c>
      <c r="D184" s="143"/>
      <c r="E184" s="143">
        <f>IF(B53="",0,(($D$19*F53)-F53))</f>
        <v>-98500</v>
      </c>
      <c r="F184" s="143"/>
      <c r="G184" s="143" t="str">
        <f t="shared" si="10"/>
        <v/>
      </c>
      <c r="H184" s="138"/>
      <c r="I184" s="138"/>
      <c r="J184" s="138"/>
      <c r="K184" s="138"/>
      <c r="L184" s="138"/>
      <c r="M184" s="138"/>
      <c r="N184" s="138"/>
      <c r="O184" s="138"/>
      <c r="P184" s="138"/>
    </row>
    <row r="185" spans="1:18" x14ac:dyDescent="0.3">
      <c r="A185" s="143">
        <v>2</v>
      </c>
      <c r="B185" s="143"/>
      <c r="C185" s="143">
        <f>IF(B48="",0,((((-C184+$D$48)/($C$26*$F$26))^-1-$D$26^-1)*$F$37*1000))</f>
        <v>277.47579938966084</v>
      </c>
      <c r="D185" s="143">
        <f>IF(C185=0,"",C185)</f>
        <v>277.47579938966084</v>
      </c>
      <c r="E185" s="143">
        <f>IF($B$48="",0,(C185/$B$48)*$F$48-$F$48)</f>
        <v>106380.18577902345</v>
      </c>
      <c r="F185" s="143">
        <f>IF(E184=0,0,(E184+E185))</f>
        <v>7880.1857790234499</v>
      </c>
      <c r="G185" s="143" t="str">
        <f t="shared" si="10"/>
        <v/>
      </c>
      <c r="H185" s="138"/>
      <c r="I185" s="138"/>
      <c r="J185" s="138"/>
      <c r="K185" s="138"/>
      <c r="L185" s="138"/>
      <c r="M185" s="138"/>
      <c r="N185" s="138"/>
      <c r="O185" s="138"/>
      <c r="P185" s="138"/>
      <c r="Q185" s="142"/>
      <c r="R185" s="142"/>
    </row>
    <row r="186" spans="1:18" x14ac:dyDescent="0.3">
      <c r="A186" s="143"/>
      <c r="B186" s="143"/>
      <c r="C186" s="143"/>
      <c r="D186" s="143"/>
      <c r="E186" s="143"/>
      <c r="F186" s="143"/>
      <c r="G186" s="143" t="str">
        <f t="shared" si="10"/>
        <v/>
      </c>
      <c r="H186" s="138"/>
      <c r="I186" s="138"/>
      <c r="J186" s="138"/>
      <c r="K186" s="138"/>
      <c r="L186" s="138"/>
      <c r="M186" s="138"/>
      <c r="N186" s="138"/>
      <c r="O186" s="138"/>
      <c r="P186" s="138"/>
      <c r="Q186" s="142"/>
      <c r="R186" s="142"/>
    </row>
    <row r="187" spans="1:18" x14ac:dyDescent="0.3">
      <c r="A187" s="143">
        <v>8</v>
      </c>
      <c r="B187" s="143">
        <f>$B$169</f>
        <v>2113547.65</v>
      </c>
      <c r="C187" s="143">
        <f>$C$169</f>
        <v>9.9266055045871155</v>
      </c>
      <c r="D187" s="143"/>
      <c r="E187" s="143">
        <f>IF(B54="",0,(($D$19*F54)-F54))</f>
        <v>-111239.35000000009</v>
      </c>
      <c r="F187" s="143"/>
      <c r="G187" s="143" t="str">
        <f t="shared" si="10"/>
        <v/>
      </c>
      <c r="H187" s="138"/>
      <c r="I187" s="138"/>
      <c r="J187" s="138"/>
      <c r="K187" s="138"/>
      <c r="L187" s="138"/>
      <c r="M187" s="138"/>
      <c r="N187" s="138"/>
      <c r="O187" s="138"/>
      <c r="P187" s="138"/>
      <c r="Q187" s="142"/>
      <c r="R187" s="142"/>
    </row>
    <row r="188" spans="1:18" x14ac:dyDescent="0.3">
      <c r="A188" s="143">
        <v>2</v>
      </c>
      <c r="B188" s="143"/>
      <c r="C188" s="143">
        <f>IF(B48="",0,((((-C187+$D$48)/($C$26*$F$26))^-1-$D$26^-1)*$F$37*1000))</f>
        <v>279.43470365935644</v>
      </c>
      <c r="D188" s="143">
        <f>IF(C188=0,"",C188)</f>
        <v>279.43470365935644</v>
      </c>
      <c r="E188" s="143">
        <f>IF($B$48="",0,(C188/$B$48)*$F$48-$F$48)</f>
        <v>124539.1473517823</v>
      </c>
      <c r="F188" s="143">
        <f>IF(E187=0,0,(E187+E188))</f>
        <v>13299.79735178221</v>
      </c>
      <c r="G188" s="143" t="str">
        <f t="shared" si="10"/>
        <v/>
      </c>
      <c r="H188" s="138"/>
      <c r="I188" s="138"/>
      <c r="J188" s="138"/>
      <c r="K188" s="138"/>
      <c r="L188" s="138"/>
      <c r="M188" s="138"/>
      <c r="N188" s="138"/>
      <c r="O188" s="138"/>
      <c r="P188" s="138"/>
      <c r="Q188" s="142"/>
      <c r="R188" s="142"/>
    </row>
    <row r="189" spans="1:18" x14ac:dyDescent="0.3">
      <c r="A189" s="143"/>
      <c r="B189" s="143"/>
      <c r="C189" s="143"/>
      <c r="D189" s="143"/>
      <c r="E189" s="143"/>
      <c r="F189" s="143"/>
      <c r="G189" s="143" t="str">
        <f t="shared" si="10"/>
        <v/>
      </c>
      <c r="H189" s="138"/>
      <c r="I189" s="138"/>
      <c r="J189" s="138"/>
      <c r="K189" s="138"/>
      <c r="L189" s="138"/>
      <c r="M189" s="138"/>
      <c r="N189" s="138"/>
      <c r="O189" s="138"/>
      <c r="P189" s="138"/>
      <c r="Q189" s="142"/>
      <c r="R189" s="142"/>
    </row>
    <row r="190" spans="1:18" x14ac:dyDescent="0.3">
      <c r="A190" s="143">
        <v>4</v>
      </c>
      <c r="B190" s="143">
        <f>$B$175</f>
        <v>557183.54999999993</v>
      </c>
      <c r="C190" s="143">
        <f>$C$175</f>
        <v>2.756878744485519</v>
      </c>
      <c r="D190" s="143"/>
      <c r="E190" s="143">
        <f>IF(B50="",0,(($D$19*F50)-F50))</f>
        <v>-29325.45000000007</v>
      </c>
      <c r="F190" s="143"/>
      <c r="G190" s="143" t="str">
        <f t="shared" si="10"/>
        <v/>
      </c>
      <c r="H190" s="138"/>
      <c r="I190" s="138"/>
      <c r="J190" s="138"/>
      <c r="K190" s="138"/>
      <c r="L190" s="138"/>
      <c r="M190" s="138"/>
      <c r="N190" s="138"/>
      <c r="O190" s="138"/>
      <c r="P190" s="138"/>
      <c r="Q190" s="142"/>
      <c r="R190" s="142"/>
    </row>
    <row r="191" spans="1:18" x14ac:dyDescent="0.3">
      <c r="A191" s="143">
        <v>3</v>
      </c>
      <c r="B191" s="143"/>
      <c r="C191" s="143">
        <f>IF(B49="",0,((((-C190+$D$49)/($C$27*$F$27))^-1-$D$27^-1)*$F$38*1000))</f>
        <v>278.15469996207628</v>
      </c>
      <c r="D191" s="143">
        <f>IF(C191=0,"",C191)</f>
        <v>278.15469996207628</v>
      </c>
      <c r="E191" s="143">
        <f>IF($B$49="",0,(C191/$B$49)*$F$49-$F$49)</f>
        <v>30337.477230025572</v>
      </c>
      <c r="F191" s="143">
        <f>IF(E190=0,0,(E190+E191))</f>
        <v>1012.0272300255019</v>
      </c>
      <c r="G191" s="143" t="str">
        <f t="shared" si="10"/>
        <v/>
      </c>
      <c r="H191" s="138"/>
      <c r="I191" s="138"/>
      <c r="J191" s="138"/>
      <c r="K191" s="138"/>
      <c r="L191" s="138"/>
      <c r="M191" s="138"/>
      <c r="N191" s="138"/>
      <c r="O191" s="138"/>
      <c r="P191" s="138"/>
      <c r="Q191" s="142"/>
      <c r="R191" s="142"/>
    </row>
    <row r="192" spans="1:18" x14ac:dyDescent="0.3">
      <c r="A192" s="143"/>
      <c r="B192" s="143"/>
      <c r="C192" s="143"/>
      <c r="D192" s="143"/>
      <c r="E192" s="143"/>
      <c r="F192" s="143"/>
      <c r="G192" s="143" t="str">
        <f t="shared" si="10"/>
        <v/>
      </c>
      <c r="H192" s="138"/>
      <c r="I192" s="138"/>
      <c r="J192" s="138"/>
      <c r="K192" s="138"/>
      <c r="L192" s="138"/>
      <c r="M192" s="138"/>
      <c r="N192" s="138"/>
      <c r="O192" s="138"/>
      <c r="P192" s="138"/>
      <c r="Q192" s="142"/>
      <c r="R192" s="142"/>
    </row>
    <row r="193" spans="1:18" x14ac:dyDescent="0.3">
      <c r="A193" s="143">
        <v>5</v>
      </c>
      <c r="B193" s="143">
        <f>$B$178</f>
        <v>208515.5</v>
      </c>
      <c r="C193" s="143">
        <f>$C$178</f>
        <v>1.317507418397625</v>
      </c>
      <c r="D193" s="143"/>
      <c r="E193" s="143">
        <f>IF(B51="",0,(($D$19*F51)-F51))</f>
        <v>-10974.5</v>
      </c>
      <c r="F193" s="143"/>
      <c r="G193" s="143" t="str">
        <f t="shared" si="10"/>
        <v/>
      </c>
      <c r="H193" s="138"/>
      <c r="I193" s="138"/>
      <c r="J193" s="138"/>
      <c r="K193" s="138"/>
      <c r="L193" s="138"/>
      <c r="M193" s="138"/>
      <c r="N193" s="138"/>
      <c r="O193" s="138"/>
      <c r="P193" s="138"/>
      <c r="Q193" s="142"/>
      <c r="R193" s="142"/>
    </row>
    <row r="194" spans="1:18" x14ac:dyDescent="0.3">
      <c r="A194" s="143">
        <v>3</v>
      </c>
      <c r="B194" s="143"/>
      <c r="C194" s="143">
        <f>IF(B49="",0,((((-C193+$D$49)/($C$27*$F$27))^-1-$D$27^-1)*$F$38*1000))</f>
        <v>273.5897485690669</v>
      </c>
      <c r="D194" s="143">
        <f>IF(C194=0,"",C194)</f>
        <v>273.5897485690669</v>
      </c>
      <c r="E194" s="143">
        <f>IF($B$49="",0,(C194/$B$49)*$F$49-$F$49)</f>
        <v>13354.742171023623</v>
      </c>
      <c r="F194" s="143">
        <f>IF(E193=0,0,(E193+E194))</f>
        <v>2380.2421710236231</v>
      </c>
      <c r="G194" s="143" t="str">
        <f t="shared" si="10"/>
        <v/>
      </c>
      <c r="H194" s="138"/>
      <c r="I194" s="138"/>
      <c r="J194" s="138"/>
      <c r="K194" s="138"/>
      <c r="L194" s="138"/>
      <c r="M194" s="138"/>
      <c r="N194" s="138"/>
      <c r="O194" s="138"/>
      <c r="P194" s="138"/>
      <c r="Q194" s="142"/>
      <c r="R194" s="142"/>
    </row>
    <row r="195" spans="1:18" x14ac:dyDescent="0.3">
      <c r="A195" s="143"/>
      <c r="B195" s="143"/>
      <c r="C195" s="143"/>
      <c r="D195" s="143"/>
      <c r="E195" s="143"/>
      <c r="F195" s="143"/>
      <c r="G195" s="143" t="str">
        <f t="shared" si="10"/>
        <v/>
      </c>
      <c r="H195" s="138"/>
      <c r="I195" s="138"/>
      <c r="J195" s="138"/>
      <c r="K195" s="138"/>
      <c r="L195" s="138"/>
      <c r="M195" s="138"/>
      <c r="N195" s="138"/>
      <c r="O195" s="138"/>
      <c r="P195" s="138"/>
      <c r="Q195" s="142"/>
      <c r="R195" s="142"/>
    </row>
    <row r="196" spans="1:18" x14ac:dyDescent="0.3">
      <c r="A196" s="143">
        <v>6</v>
      </c>
      <c r="B196" s="143">
        <f>$B$181</f>
        <v>1029931.1</v>
      </c>
      <c r="C196" s="143">
        <f>$C$142</f>
        <v>4.0898502495840319</v>
      </c>
      <c r="D196" s="143"/>
      <c r="E196" s="143">
        <f>IF(B52="",0,(($D$19*F52)-F52))</f>
        <v>-54206.900000000023</v>
      </c>
      <c r="F196" s="143"/>
      <c r="G196" s="143" t="str">
        <f t="shared" ref="G196:G236" si="11">IF(F196&lt;0,F196,"")</f>
        <v/>
      </c>
      <c r="H196" s="138"/>
      <c r="I196" s="138"/>
      <c r="J196" s="138"/>
      <c r="K196" s="138"/>
      <c r="L196" s="138"/>
      <c r="M196" s="138"/>
      <c r="N196" s="138"/>
      <c r="O196" s="138"/>
      <c r="P196" s="138"/>
      <c r="Q196" s="142"/>
      <c r="R196" s="142"/>
    </row>
    <row r="197" spans="1:18" x14ac:dyDescent="0.3">
      <c r="A197" s="143">
        <v>3</v>
      </c>
      <c r="B197" s="143"/>
      <c r="C197" s="143">
        <f>IF(B49="",0,((((-C196+$D$49)/($C$27*$F$27))^-1-$D$27^-1)*$F$38*1000))</f>
        <v>282.51402494763596</v>
      </c>
      <c r="D197" s="143">
        <f>IF(C197=0,"",C197)</f>
        <v>282.51402494763596</v>
      </c>
      <c r="E197" s="143">
        <f>IF($B$49="",0,(C197/$B$49)*$F$49-$F$49)</f>
        <v>46555.231789081823</v>
      </c>
      <c r="F197" s="143">
        <f>IF(E196=0,0,(E196+E197))</f>
        <v>-7651.6682109182002</v>
      </c>
      <c r="G197" s="143">
        <f t="shared" si="11"/>
        <v>-7651.6682109182002</v>
      </c>
      <c r="H197" s="138"/>
      <c r="I197" s="138"/>
      <c r="J197" s="138"/>
      <c r="K197" s="138"/>
      <c r="L197" s="138"/>
      <c r="M197" s="138"/>
      <c r="N197" s="138"/>
      <c r="O197" s="138"/>
      <c r="P197" s="138"/>
      <c r="Q197" s="142"/>
      <c r="R197" s="142"/>
    </row>
    <row r="198" spans="1:18" x14ac:dyDescent="0.3">
      <c r="A198" s="143"/>
      <c r="B198" s="143"/>
      <c r="C198" s="143"/>
      <c r="D198" s="143"/>
      <c r="E198" s="143"/>
      <c r="F198" s="143"/>
      <c r="G198" s="143" t="str">
        <f t="shared" si="11"/>
        <v/>
      </c>
      <c r="H198" s="138"/>
      <c r="I198" s="138"/>
      <c r="J198" s="138"/>
      <c r="K198" s="138"/>
      <c r="L198" s="138"/>
      <c r="M198" s="138"/>
      <c r="N198" s="138"/>
      <c r="O198" s="138"/>
      <c r="P198" s="138"/>
      <c r="Q198" s="142"/>
      <c r="R198" s="142"/>
    </row>
    <row r="199" spans="1:18" x14ac:dyDescent="0.3">
      <c r="A199" s="143">
        <v>7</v>
      </c>
      <c r="B199" s="143">
        <f>$B$184</f>
        <v>1871500</v>
      </c>
      <c r="C199" s="143">
        <f>$C$166</f>
        <v>8.5483870967741495</v>
      </c>
      <c r="D199" s="143"/>
      <c r="E199" s="143">
        <f>IF(B53="",0,(($D$19*F53)-F53))</f>
        <v>-98500</v>
      </c>
      <c r="F199" s="143"/>
      <c r="G199" s="143" t="str">
        <f t="shared" si="11"/>
        <v/>
      </c>
      <c r="H199" s="138"/>
      <c r="I199" s="138"/>
      <c r="J199" s="138"/>
      <c r="K199" s="138"/>
      <c r="L199" s="138"/>
      <c r="M199" s="138"/>
      <c r="N199" s="138"/>
      <c r="O199" s="138"/>
      <c r="P199" s="138"/>
      <c r="Q199" s="142"/>
      <c r="R199" s="142"/>
    </row>
    <row r="200" spans="1:18" x14ac:dyDescent="0.3">
      <c r="A200" s="143">
        <v>3</v>
      </c>
      <c r="B200" s="143"/>
      <c r="C200" s="143">
        <f>IF(B49="",0,((((-C199+$D$49)/($C$27*$F$27))^-1-$D$27^-1)*$F$38*1000))</f>
        <v>298.09508138919892</v>
      </c>
      <c r="D200" s="143">
        <f>IF(C200=0,"",C200)</f>
        <v>298.09508138919892</v>
      </c>
      <c r="E200" s="143">
        <f>IF($B$49="",0,(C200/$B$49)*$F$49-$F$49)</f>
        <v>104520.57045438187</v>
      </c>
      <c r="F200" s="143">
        <f>IF(E199=0,0,(E199+E200))</f>
        <v>6020.570454381872</v>
      </c>
      <c r="G200" s="143" t="str">
        <f t="shared" si="11"/>
        <v/>
      </c>
      <c r="H200" s="138"/>
      <c r="I200" s="138"/>
      <c r="J200" s="138"/>
      <c r="K200" s="138"/>
      <c r="L200" s="138"/>
      <c r="M200" s="138"/>
      <c r="N200" s="138"/>
      <c r="O200" s="138"/>
      <c r="P200" s="138"/>
      <c r="Q200" s="142"/>
      <c r="R200" s="142"/>
    </row>
    <row r="201" spans="1:18" x14ac:dyDescent="0.3">
      <c r="A201" s="143"/>
      <c r="B201" s="143"/>
      <c r="C201" s="143"/>
      <c r="D201" s="143"/>
      <c r="E201" s="143"/>
      <c r="F201" s="143"/>
      <c r="G201" s="143" t="str">
        <f t="shared" si="11"/>
        <v/>
      </c>
      <c r="H201" s="138"/>
      <c r="I201" s="138"/>
      <c r="J201" s="138"/>
      <c r="K201" s="138"/>
      <c r="L201" s="138"/>
      <c r="M201" s="138"/>
      <c r="N201" s="138"/>
      <c r="O201" s="138"/>
      <c r="P201" s="138"/>
      <c r="Q201" s="142"/>
      <c r="R201" s="142"/>
    </row>
    <row r="202" spans="1:18" x14ac:dyDescent="0.3">
      <c r="A202" s="143">
        <v>8</v>
      </c>
      <c r="B202" s="143">
        <f>$B$169</f>
        <v>2113547.65</v>
      </c>
      <c r="C202" s="143">
        <f>$C$187</f>
        <v>9.9266055045871155</v>
      </c>
      <c r="D202" s="143"/>
      <c r="E202" s="143">
        <f>IF(B54="",0,(($D$19*F54)-F54))</f>
        <v>-111239.35000000009</v>
      </c>
      <c r="F202" s="143"/>
      <c r="G202" s="143" t="str">
        <f t="shared" si="11"/>
        <v/>
      </c>
      <c r="H202" s="138"/>
      <c r="I202" s="138"/>
      <c r="J202" s="138"/>
      <c r="K202" s="138"/>
      <c r="L202" s="138"/>
      <c r="M202" s="138"/>
      <c r="N202" s="138"/>
      <c r="O202" s="138"/>
      <c r="P202" s="138"/>
      <c r="Q202" s="142"/>
      <c r="R202" s="142"/>
    </row>
    <row r="203" spans="1:18" x14ac:dyDescent="0.3">
      <c r="A203" s="143">
        <v>3</v>
      </c>
      <c r="B203" s="143"/>
      <c r="C203" s="143">
        <f>IF(B49="",0,((((-C202+$D$49)/($C$27*$F$27))^-1-$D$27^-1)*$F$38*1000))</f>
        <v>303.2498831924562</v>
      </c>
      <c r="D203" s="143">
        <f>IF(C203=0,"",C203)</f>
        <v>303.2498831924562</v>
      </c>
      <c r="E203" s="143">
        <f>IF($B$49="",0,(C203/$B$49)*$F$49-$F$49)</f>
        <v>123697.69322516187</v>
      </c>
      <c r="F203" s="143">
        <f>IF(E202=0,0,(E202+E203))</f>
        <v>12458.343225161778</v>
      </c>
      <c r="G203" s="143" t="str">
        <f t="shared" si="11"/>
        <v/>
      </c>
      <c r="H203" s="138"/>
      <c r="I203" s="138"/>
      <c r="J203" s="138"/>
      <c r="K203" s="138"/>
      <c r="L203" s="138"/>
      <c r="M203" s="138"/>
      <c r="N203" s="138"/>
      <c r="O203" s="138"/>
      <c r="P203" s="138"/>
      <c r="Q203" s="142"/>
      <c r="R203" s="142"/>
    </row>
    <row r="204" spans="1:18" x14ac:dyDescent="0.3">
      <c r="A204" s="143"/>
      <c r="B204" s="143"/>
      <c r="C204" s="143"/>
      <c r="D204" s="143"/>
      <c r="E204" s="143"/>
      <c r="F204" s="143"/>
      <c r="G204" s="143" t="str">
        <f t="shared" si="11"/>
        <v/>
      </c>
      <c r="H204" s="138"/>
      <c r="I204" s="138"/>
      <c r="J204" s="138"/>
      <c r="K204" s="138"/>
      <c r="L204" s="138"/>
      <c r="M204" s="138"/>
      <c r="N204" s="138"/>
      <c r="O204" s="138"/>
      <c r="P204" s="138"/>
      <c r="Q204" s="142"/>
      <c r="R204" s="142"/>
    </row>
    <row r="205" spans="1:18" x14ac:dyDescent="0.3">
      <c r="A205" s="143">
        <v>5</v>
      </c>
      <c r="B205" s="143">
        <f>$B$193</f>
        <v>208515.5</v>
      </c>
      <c r="C205" s="143">
        <f>$C$178</f>
        <v>1.317507418397625</v>
      </c>
      <c r="D205" s="143"/>
      <c r="E205" s="143">
        <f>IF(B51="",0,(($D$19*F51)-F51))</f>
        <v>-10974.5</v>
      </c>
      <c r="F205" s="143"/>
      <c r="G205" s="143" t="str">
        <f t="shared" si="11"/>
        <v/>
      </c>
      <c r="H205" s="138"/>
      <c r="I205" s="138"/>
      <c r="J205" s="138"/>
      <c r="K205" s="138"/>
      <c r="L205" s="138"/>
      <c r="M205" s="138"/>
      <c r="N205" s="138"/>
      <c r="O205" s="138"/>
      <c r="P205" s="138"/>
      <c r="Q205" s="142"/>
      <c r="R205" s="142"/>
    </row>
    <row r="206" spans="1:18" x14ac:dyDescent="0.3">
      <c r="A206" s="143">
        <v>4</v>
      </c>
      <c r="B206" s="143"/>
      <c r="C206" s="143">
        <f>IF(B50="",0,((((-C205+D50)/(C28*F28))^-1-D28^-1)*F39*1000))</f>
        <v>103.64304290322789</v>
      </c>
      <c r="D206" s="143">
        <f>IF(C206=0,"",C206)</f>
        <v>103.64304290322789</v>
      </c>
      <c r="E206" s="143">
        <f>IF($B$50="",0,(C206/$B$50)*$F$50-$F$50)</f>
        <v>15348.202476527658</v>
      </c>
      <c r="F206" s="143">
        <f>IF(E205=0,0,(E205+E206))</f>
        <v>4373.7024765276583</v>
      </c>
      <c r="G206" s="143" t="str">
        <f t="shared" si="11"/>
        <v/>
      </c>
      <c r="H206" s="138"/>
      <c r="I206" s="138"/>
      <c r="J206" s="138"/>
      <c r="K206" s="138"/>
      <c r="L206" s="138"/>
      <c r="M206" s="138"/>
      <c r="N206" s="138"/>
      <c r="O206" s="138"/>
      <c r="P206" s="138"/>
      <c r="Q206" s="142"/>
      <c r="R206" s="142"/>
    </row>
    <row r="207" spans="1:18" x14ac:dyDescent="0.3">
      <c r="A207" s="143"/>
      <c r="B207" s="143"/>
      <c r="C207" s="143"/>
      <c r="D207" s="143"/>
      <c r="E207" s="143"/>
      <c r="F207" s="143"/>
      <c r="G207" s="143" t="str">
        <f t="shared" si="11"/>
        <v/>
      </c>
      <c r="H207" s="138"/>
      <c r="I207" s="138"/>
      <c r="J207" s="138"/>
      <c r="K207" s="138"/>
      <c r="L207" s="138"/>
      <c r="M207" s="138"/>
      <c r="N207" s="138"/>
      <c r="O207" s="138"/>
      <c r="P207" s="138"/>
      <c r="Q207" s="142"/>
      <c r="R207" s="142"/>
    </row>
    <row r="208" spans="1:18" x14ac:dyDescent="0.3">
      <c r="A208" s="143">
        <v>6</v>
      </c>
      <c r="B208" s="143">
        <f>$B$196</f>
        <v>1029931.1</v>
      </c>
      <c r="C208" s="143">
        <f>$C$181</f>
        <v>4.0898502495840319</v>
      </c>
      <c r="D208" s="143"/>
      <c r="E208" s="143">
        <f>IF(B52="",0,(($D$19*F52)-F52))</f>
        <v>-54206.900000000023</v>
      </c>
      <c r="F208" s="143"/>
      <c r="G208" s="143" t="str">
        <f t="shared" si="11"/>
        <v/>
      </c>
      <c r="H208" s="138"/>
      <c r="I208" s="138"/>
      <c r="J208" s="138"/>
      <c r="K208" s="138"/>
      <c r="L208" s="138"/>
      <c r="M208" s="138"/>
      <c r="N208" s="138"/>
      <c r="O208" s="138"/>
      <c r="P208" s="138"/>
      <c r="Q208" s="142"/>
      <c r="R208" s="142"/>
    </row>
    <row r="209" spans="1:18" x14ac:dyDescent="0.3">
      <c r="A209" s="143">
        <v>4</v>
      </c>
      <c r="B209" s="143"/>
      <c r="C209" s="143">
        <f>IF(B50="",0,((((-C208+D50)/(C28*F28))^-1-D28^-1)*F39*1000))</f>
        <v>109.54244254433588</v>
      </c>
      <c r="D209" s="143">
        <f>IF(C209=0,"",C209)</f>
        <v>109.54244254433588</v>
      </c>
      <c r="E209" s="143">
        <f>IF($B$50="",0,(C209/$B$50)*$F$50-$F$50)</f>
        <v>49606.133012236562</v>
      </c>
      <c r="F209" s="143">
        <f>IF(E208=0,0,(E208+E209))</f>
        <v>-4600.7669877634617</v>
      </c>
      <c r="G209" s="143">
        <f t="shared" si="11"/>
        <v>-4600.7669877634617</v>
      </c>
      <c r="H209" s="138"/>
      <c r="I209" s="138"/>
      <c r="J209" s="138"/>
      <c r="K209" s="138"/>
      <c r="L209" s="138"/>
      <c r="M209" s="138"/>
      <c r="N209" s="138"/>
      <c r="O209" s="138"/>
      <c r="P209" s="138"/>
      <c r="Q209" s="142"/>
      <c r="R209" s="142"/>
    </row>
    <row r="210" spans="1:18" x14ac:dyDescent="0.3">
      <c r="A210" s="143"/>
      <c r="B210" s="143"/>
      <c r="C210" s="143"/>
      <c r="D210" s="143"/>
      <c r="E210" s="143"/>
      <c r="F210" s="143"/>
      <c r="G210" s="143" t="str">
        <f t="shared" si="11"/>
        <v/>
      </c>
      <c r="H210" s="138"/>
      <c r="I210" s="138"/>
      <c r="J210" s="138"/>
      <c r="K210" s="138"/>
      <c r="L210" s="138"/>
      <c r="M210" s="138"/>
      <c r="N210" s="138"/>
      <c r="O210" s="138"/>
      <c r="P210" s="138"/>
      <c r="Q210" s="142"/>
      <c r="R210" s="142"/>
    </row>
    <row r="211" spans="1:18" x14ac:dyDescent="0.3">
      <c r="A211" s="143">
        <v>7</v>
      </c>
      <c r="B211" s="143">
        <f>$B$199</f>
        <v>1871500</v>
      </c>
      <c r="C211" s="143">
        <f>$C$199</f>
        <v>8.5483870967741495</v>
      </c>
      <c r="D211" s="143"/>
      <c r="E211" s="143">
        <f>IF(B53="",0,(($D$19*F53)-F53))</f>
        <v>-98500</v>
      </c>
      <c r="F211" s="143"/>
      <c r="G211" s="143" t="str">
        <f t="shared" si="11"/>
        <v/>
      </c>
      <c r="H211" s="138"/>
      <c r="I211" s="138"/>
      <c r="J211" s="138"/>
      <c r="K211" s="138"/>
      <c r="L211" s="138"/>
      <c r="M211" s="138"/>
      <c r="N211" s="138"/>
      <c r="O211" s="138"/>
      <c r="P211" s="138"/>
      <c r="Q211" s="142"/>
      <c r="R211" s="142"/>
    </row>
    <row r="212" spans="1:18" x14ac:dyDescent="0.3">
      <c r="A212" s="143">
        <v>4</v>
      </c>
      <c r="B212" s="143"/>
      <c r="C212" s="143">
        <f>IF(B50="",0,((((-C211+D50)/(C28*F28))^-1-D28^-1)*F39*1000))</f>
        <v>120.41725364457493</v>
      </c>
      <c r="D212" s="143">
        <f>IF(C212=0,"",C212)</f>
        <v>120.41725364457493</v>
      </c>
      <c r="E212" s="143">
        <f>IF($B$50="",0,(C212/$B$50)*$F$50-$F$50)</f>
        <v>112756.37641411868</v>
      </c>
      <c r="F212" s="143">
        <f>IF(E211=0,0,(E211+E212))</f>
        <v>14256.376414118684</v>
      </c>
      <c r="G212" s="143" t="str">
        <f t="shared" si="11"/>
        <v/>
      </c>
      <c r="H212" s="138"/>
      <c r="I212" s="138"/>
      <c r="J212" s="138"/>
      <c r="K212" s="138"/>
      <c r="L212" s="138"/>
      <c r="M212" s="138"/>
      <c r="N212" s="138"/>
      <c r="O212" s="138"/>
      <c r="P212" s="138"/>
      <c r="Q212" s="142"/>
      <c r="R212" s="142"/>
    </row>
    <row r="213" spans="1:18" x14ac:dyDescent="0.3">
      <c r="A213" s="143"/>
      <c r="B213" s="143"/>
      <c r="C213" s="143"/>
      <c r="D213" s="143"/>
      <c r="E213" s="143"/>
      <c r="F213" s="143"/>
      <c r="G213" s="143" t="str">
        <f t="shared" si="11"/>
        <v/>
      </c>
      <c r="H213" s="138"/>
      <c r="I213" s="138"/>
      <c r="J213" s="138"/>
      <c r="K213" s="138"/>
      <c r="L213" s="138"/>
      <c r="M213" s="138"/>
      <c r="N213" s="138"/>
      <c r="O213" s="138"/>
      <c r="P213" s="138"/>
      <c r="Q213" s="142"/>
      <c r="R213" s="142"/>
    </row>
    <row r="214" spans="1:18" x14ac:dyDescent="0.3">
      <c r="A214" s="143">
        <v>8</v>
      </c>
      <c r="B214" s="143">
        <f>$B$169</f>
        <v>2113547.65</v>
      </c>
      <c r="C214" s="143">
        <f>$C$202</f>
        <v>9.9266055045871155</v>
      </c>
      <c r="D214" s="143"/>
      <c r="E214" s="143">
        <f>IF(B54="",0,(($D$19*F54)-F54))</f>
        <v>-111239.35000000009</v>
      </c>
      <c r="F214" s="143"/>
      <c r="G214" s="143" t="str">
        <f t="shared" si="11"/>
        <v/>
      </c>
      <c r="H214" s="138"/>
      <c r="I214" s="138"/>
      <c r="J214" s="138"/>
      <c r="K214" s="138"/>
      <c r="L214" s="138"/>
      <c r="M214" s="138"/>
      <c r="N214" s="138"/>
      <c r="O214" s="138"/>
      <c r="P214" s="138"/>
      <c r="Q214" s="142"/>
      <c r="R214" s="142"/>
    </row>
    <row r="215" spans="1:18" x14ac:dyDescent="0.3">
      <c r="A215" s="143">
        <v>4</v>
      </c>
      <c r="B215" s="143"/>
      <c r="C215" s="143">
        <f>IF(B50="",0,((((-C214+D50)/(C28*F28))^-1-D28^-1)*F39*1000))</f>
        <v>124.18700891414069</v>
      </c>
      <c r="D215" s="143">
        <f>IF(C215=0,"",C215)</f>
        <v>124.18700891414069</v>
      </c>
      <c r="E215" s="143">
        <f>IF($B$50="",0,(C215/$B$50)*$F$50-$F$50)</f>
        <v>134647.41991310637</v>
      </c>
      <c r="F215" s="143">
        <f>IF(E214=0,0,(E214+E215))</f>
        <v>23408.069913106272</v>
      </c>
      <c r="G215" s="143" t="str">
        <f t="shared" si="11"/>
        <v/>
      </c>
      <c r="H215" s="138"/>
      <c r="I215" s="138"/>
      <c r="J215" s="138"/>
      <c r="K215" s="138"/>
      <c r="L215" s="138"/>
      <c r="M215" s="138"/>
      <c r="N215" s="138"/>
      <c r="O215" s="138"/>
      <c r="P215" s="138"/>
      <c r="Q215" s="142"/>
      <c r="R215" s="142"/>
    </row>
    <row r="216" spans="1:18" x14ac:dyDescent="0.3">
      <c r="A216" s="143"/>
      <c r="B216" s="143"/>
      <c r="C216" s="143"/>
      <c r="D216" s="143"/>
      <c r="E216" s="143"/>
      <c r="F216" s="143"/>
      <c r="G216" s="143" t="str">
        <f t="shared" si="11"/>
        <v/>
      </c>
      <c r="H216" s="138"/>
      <c r="I216" s="138"/>
      <c r="J216" s="138"/>
      <c r="K216" s="138"/>
      <c r="L216" s="138"/>
      <c r="M216" s="138"/>
      <c r="N216" s="138"/>
      <c r="O216" s="138"/>
      <c r="P216" s="138"/>
      <c r="Q216" s="142"/>
      <c r="R216" s="142"/>
    </row>
    <row r="217" spans="1:18" x14ac:dyDescent="0.3">
      <c r="A217" s="143">
        <v>6</v>
      </c>
      <c r="B217" s="143">
        <f>$B$196</f>
        <v>1029931.1</v>
      </c>
      <c r="C217" s="143">
        <f>$C$196</f>
        <v>4.0898502495840319</v>
      </c>
      <c r="D217" s="143"/>
      <c r="E217" s="143">
        <f>IF(B52="",0,(($D$19*F52)-F52))</f>
        <v>-54206.900000000023</v>
      </c>
      <c r="F217" s="143"/>
      <c r="G217" s="143" t="str">
        <f t="shared" si="11"/>
        <v/>
      </c>
      <c r="H217" s="138"/>
      <c r="I217" s="138"/>
      <c r="J217" s="138"/>
      <c r="K217" s="138"/>
      <c r="L217" s="138"/>
      <c r="M217" s="138"/>
      <c r="N217" s="138"/>
      <c r="O217" s="138"/>
      <c r="P217" s="138"/>
      <c r="Q217" s="142"/>
      <c r="R217" s="142"/>
    </row>
    <row r="218" spans="1:18" x14ac:dyDescent="0.3">
      <c r="A218" s="143">
        <v>5</v>
      </c>
      <c r="B218" s="143"/>
      <c r="C218" s="143">
        <f>IF(B51="",0,((((-C217+D51)/(C29*F29))^-1-D29^-1)*F40*1000))</f>
        <v>236.43049384825713</v>
      </c>
      <c r="D218" s="143">
        <f>IF(C218=0,"",C218)</f>
        <v>236.43049384825713</v>
      </c>
      <c r="E218" s="143">
        <f>IF($B$51="",0,(C218/$B$51)*$F$51-$F$51)</f>
        <v>77047.880541451217</v>
      </c>
      <c r="F218" s="143">
        <f>IF(E217=0,0,(E217+E218))</f>
        <v>22840.980541451194</v>
      </c>
      <c r="G218" s="143" t="str">
        <f t="shared" si="11"/>
        <v/>
      </c>
      <c r="H218" s="138"/>
      <c r="I218" s="138"/>
      <c r="J218" s="138"/>
      <c r="K218" s="138"/>
      <c r="L218" s="138"/>
      <c r="M218" s="138"/>
      <c r="N218" s="138"/>
      <c r="O218" s="138"/>
      <c r="P218" s="138"/>
    </row>
    <row r="219" spans="1:18" x14ac:dyDescent="0.3">
      <c r="A219" s="143"/>
      <c r="B219" s="143"/>
      <c r="C219" s="143"/>
      <c r="D219" s="143"/>
      <c r="E219" s="143"/>
      <c r="F219" s="143"/>
      <c r="G219" s="143" t="str">
        <f t="shared" si="11"/>
        <v/>
      </c>
      <c r="H219" s="138"/>
      <c r="I219" s="138"/>
      <c r="J219" s="138"/>
      <c r="K219" s="138"/>
      <c r="L219" s="138"/>
      <c r="M219" s="138"/>
      <c r="N219" s="138"/>
      <c r="O219" s="138"/>
      <c r="P219" s="138"/>
    </row>
    <row r="220" spans="1:18" x14ac:dyDescent="0.3">
      <c r="A220" s="143">
        <v>7</v>
      </c>
      <c r="B220" s="143">
        <f>$B$199</f>
        <v>1871500</v>
      </c>
      <c r="C220" s="143">
        <f>$C$211</f>
        <v>8.5483870967741495</v>
      </c>
      <c r="D220" s="143"/>
      <c r="E220" s="143">
        <f>IF(B53="",0,(($D$19*F53)-F53))</f>
        <v>-98500</v>
      </c>
      <c r="F220" s="143"/>
      <c r="G220" s="143" t="str">
        <f t="shared" si="11"/>
        <v/>
      </c>
      <c r="H220" s="138"/>
      <c r="I220" s="138"/>
      <c r="J220" s="138"/>
      <c r="K220" s="138"/>
      <c r="L220" s="138"/>
      <c r="M220" s="138"/>
      <c r="N220" s="138"/>
      <c r="O220" s="138"/>
      <c r="P220" s="138"/>
    </row>
    <row r="221" spans="1:18" x14ac:dyDescent="0.3">
      <c r="A221" s="143">
        <v>5</v>
      </c>
      <c r="B221" s="143"/>
      <c r="C221" s="143">
        <f>IF(B51="",0,((((-C220+D51)/(C29*F29))^-1-D29^-1)*F40*1000))</f>
        <v>354.69892735250926</v>
      </c>
      <c r="D221" s="143">
        <f>IF(C221=0,"",C221)</f>
        <v>354.69892735250926</v>
      </c>
      <c r="E221" s="143">
        <f>IF($B$51="",0,(C221/$B$51)*$F$51-$F$51)</f>
        <v>225383.52894058434</v>
      </c>
      <c r="F221" s="143">
        <f>IF(E220=0,0,(E220+E221))</f>
        <v>126883.52894058434</v>
      </c>
      <c r="G221" s="143" t="str">
        <f t="shared" si="11"/>
        <v/>
      </c>
      <c r="H221" s="138"/>
      <c r="I221" s="138"/>
      <c r="J221" s="138"/>
      <c r="K221" s="138"/>
      <c r="L221" s="138"/>
      <c r="M221" s="138"/>
      <c r="N221" s="138"/>
      <c r="O221" s="138"/>
      <c r="P221" s="138"/>
    </row>
    <row r="222" spans="1:18" x14ac:dyDescent="0.3">
      <c r="A222" s="143"/>
      <c r="B222" s="143"/>
      <c r="C222" s="143"/>
      <c r="D222" s="143"/>
      <c r="E222" s="143"/>
      <c r="F222" s="143"/>
      <c r="G222" s="143" t="str">
        <f t="shared" si="11"/>
        <v/>
      </c>
      <c r="H222" s="138"/>
      <c r="I222" s="138"/>
      <c r="J222" s="138"/>
      <c r="K222" s="138"/>
      <c r="L222" s="138"/>
      <c r="M222" s="138"/>
      <c r="N222" s="138"/>
      <c r="O222" s="138"/>
      <c r="P222" s="138"/>
    </row>
    <row r="223" spans="1:18" x14ac:dyDescent="0.3">
      <c r="A223" s="143">
        <v>8</v>
      </c>
      <c r="B223" s="143">
        <f>$B$169</f>
        <v>2113547.65</v>
      </c>
      <c r="C223" s="143">
        <f>$C$214</f>
        <v>9.9266055045871155</v>
      </c>
      <c r="D223" s="143"/>
      <c r="E223" s="143">
        <f>IF(B54="",0,(($D$19*F54)-F54))</f>
        <v>-111239.35000000009</v>
      </c>
      <c r="F223" s="143"/>
      <c r="G223" s="143" t="str">
        <f t="shared" si="11"/>
        <v/>
      </c>
      <c r="H223" s="138"/>
      <c r="I223" s="138"/>
      <c r="J223" s="138"/>
      <c r="K223" s="138"/>
      <c r="L223" s="138"/>
      <c r="M223" s="138"/>
      <c r="N223" s="138"/>
      <c r="O223" s="138"/>
      <c r="P223" s="138"/>
    </row>
    <row r="224" spans="1:18" x14ac:dyDescent="0.3">
      <c r="A224" s="143">
        <v>5</v>
      </c>
      <c r="B224" s="143"/>
      <c r="C224" s="143">
        <f>IF(B51="",0,((((-C223+D51)/(C29*F29))^-1-D29^-1)*F40*1000))</f>
        <v>417.68871753246532</v>
      </c>
      <c r="D224" s="143">
        <f>IF(C224=0,"",C224)</f>
        <v>417.68871753246532</v>
      </c>
      <c r="E224" s="143">
        <f>IF($B$51="",0,(C224/$B$51)*$F$51-$F$51)</f>
        <v>304387.12349257612</v>
      </c>
      <c r="F224" s="143">
        <f>IF(E223=0,0,(E223+E224))</f>
        <v>193147.77349257603</v>
      </c>
      <c r="G224" s="143" t="str">
        <f t="shared" si="11"/>
        <v/>
      </c>
      <c r="H224" s="138"/>
      <c r="I224" s="138"/>
      <c r="J224" s="138"/>
      <c r="K224" s="138"/>
      <c r="L224" s="138"/>
      <c r="M224" s="138"/>
      <c r="N224" s="138"/>
      <c r="O224" s="138"/>
      <c r="P224" s="138"/>
    </row>
    <row r="225" spans="1:16" x14ac:dyDescent="0.3">
      <c r="A225" s="143"/>
      <c r="B225" s="143"/>
      <c r="C225" s="143">
        <v>0</v>
      </c>
      <c r="D225" s="143"/>
      <c r="E225" s="143"/>
      <c r="F225" s="143"/>
      <c r="G225" s="143" t="str">
        <f t="shared" si="11"/>
        <v/>
      </c>
      <c r="H225" s="138"/>
      <c r="I225" s="138"/>
      <c r="J225" s="138"/>
      <c r="K225" s="138"/>
      <c r="L225" s="138"/>
      <c r="M225" s="138"/>
      <c r="N225" s="138"/>
      <c r="O225" s="138"/>
      <c r="P225" s="138"/>
    </row>
    <row r="226" spans="1:16" x14ac:dyDescent="0.3">
      <c r="A226" s="143">
        <v>7</v>
      </c>
      <c r="B226" s="143">
        <f>$B$220</f>
        <v>1871500</v>
      </c>
      <c r="C226" s="143">
        <f>$C$211</f>
        <v>8.5483870967741495</v>
      </c>
      <c r="D226" s="143"/>
      <c r="E226" s="143">
        <f>(($D$19*F53)-F53)</f>
        <v>-98500</v>
      </c>
      <c r="F226" s="143"/>
      <c r="G226" s="143" t="str">
        <f t="shared" si="11"/>
        <v/>
      </c>
      <c r="H226" s="138"/>
      <c r="I226" s="138"/>
      <c r="J226" s="138"/>
      <c r="K226" s="138"/>
      <c r="L226" s="138"/>
      <c r="M226" s="138"/>
      <c r="N226" s="138"/>
      <c r="O226" s="138"/>
      <c r="P226" s="138"/>
    </row>
    <row r="227" spans="1:16" x14ac:dyDescent="0.3">
      <c r="A227" s="143">
        <v>6</v>
      </c>
      <c r="B227" s="143"/>
      <c r="C227" s="143">
        <f>IF(B52="",0,((((-C226+D52)/(C30*F30))^-1-D30^-1)*F41*1000))</f>
        <v>192.60533436412823</v>
      </c>
      <c r="D227" s="143">
        <f>IF(C227=0,"",C227)</f>
        <v>192.60533436412823</v>
      </c>
      <c r="E227" s="143">
        <f>IF($B$52="",0,(C227/$B$52)*$F$52-$F$52)</f>
        <v>115923.85049917945</v>
      </c>
      <c r="F227" s="143">
        <f>IF(E226=0,0,(E226+E227))</f>
        <v>17423.850499179447</v>
      </c>
      <c r="G227" s="143" t="str">
        <f t="shared" si="11"/>
        <v/>
      </c>
      <c r="H227" s="138"/>
      <c r="I227" s="138"/>
      <c r="J227" s="138"/>
      <c r="K227" s="138"/>
      <c r="L227" s="138"/>
      <c r="M227" s="138"/>
      <c r="N227" s="138"/>
      <c r="O227" s="138"/>
      <c r="P227" s="138"/>
    </row>
    <row r="228" spans="1:16" x14ac:dyDescent="0.3">
      <c r="A228" s="143"/>
      <c r="B228" s="143"/>
      <c r="C228" s="143"/>
      <c r="D228" s="143"/>
      <c r="E228" s="143"/>
      <c r="F228" s="143"/>
      <c r="G228" s="143" t="str">
        <f t="shared" si="11"/>
        <v/>
      </c>
      <c r="H228" s="138"/>
      <c r="I228" s="138"/>
      <c r="J228" s="138"/>
      <c r="K228" s="138"/>
      <c r="L228" s="138"/>
      <c r="M228" s="138"/>
      <c r="N228" s="138"/>
      <c r="O228" s="138"/>
      <c r="P228" s="138"/>
    </row>
    <row r="229" spans="1:16" x14ac:dyDescent="0.3">
      <c r="A229" s="143">
        <v>8</v>
      </c>
      <c r="B229" s="143">
        <f>$B$169</f>
        <v>2113547.65</v>
      </c>
      <c r="C229" s="143">
        <f>$C$214</f>
        <v>9.9266055045871155</v>
      </c>
      <c r="D229" s="143"/>
      <c r="E229" s="143">
        <f>(($D$19*F54)-F54)</f>
        <v>-111239.35000000009</v>
      </c>
      <c r="F229" s="143"/>
      <c r="G229" s="143" t="str">
        <f t="shared" si="11"/>
        <v/>
      </c>
      <c r="H229" s="138"/>
      <c r="I229" s="138"/>
      <c r="J229" s="138"/>
      <c r="K229" s="138"/>
      <c r="L229" s="138"/>
      <c r="M229" s="138"/>
      <c r="N229" s="138"/>
      <c r="O229" s="138"/>
      <c r="P229" s="138"/>
    </row>
    <row r="230" spans="1:16" x14ac:dyDescent="0.3">
      <c r="A230" s="143">
        <v>6</v>
      </c>
      <c r="B230" s="143"/>
      <c r="C230" s="143">
        <f>IF(B52="",0,((((-C229+D52)/(C30*F30))^-1-D30^-1)*F41*1000))</f>
        <v>196.09154929577454</v>
      </c>
      <c r="D230" s="143">
        <f>IF(C230=0,"",C230)</f>
        <v>196.09154929577454</v>
      </c>
      <c r="E230" s="143">
        <f>(IF(B52="",0,C230/B52)*F52-F52)</f>
        <v>137645.33373805974</v>
      </c>
      <c r="F230" s="143">
        <f>IF(E229=0,0,(E229+E230))</f>
        <v>26405.983738059644</v>
      </c>
      <c r="G230" s="143" t="str">
        <f t="shared" si="11"/>
        <v/>
      </c>
      <c r="H230" s="138"/>
      <c r="I230" s="138"/>
      <c r="J230" s="138"/>
      <c r="K230" s="138"/>
      <c r="L230" s="138"/>
      <c r="M230" s="138"/>
      <c r="N230" s="138"/>
      <c r="O230" s="138"/>
      <c r="P230" s="138"/>
    </row>
    <row r="231" spans="1:16" x14ac:dyDescent="0.3">
      <c r="A231" s="143"/>
      <c r="B231" s="143"/>
      <c r="C231" s="143"/>
      <c r="D231" s="143"/>
      <c r="E231" s="143"/>
      <c r="F231" s="143"/>
      <c r="G231" s="143" t="str">
        <f t="shared" si="11"/>
        <v/>
      </c>
      <c r="H231" s="138"/>
      <c r="I231" s="138"/>
      <c r="J231" s="138"/>
      <c r="K231" s="138"/>
      <c r="L231" s="138"/>
      <c r="M231" s="138"/>
      <c r="N231" s="138"/>
      <c r="O231" s="138"/>
      <c r="P231" s="138"/>
    </row>
    <row r="232" spans="1:16" x14ac:dyDescent="0.3">
      <c r="A232" s="143">
        <v>8</v>
      </c>
      <c r="B232" s="143">
        <f>$B$169</f>
        <v>2113547.65</v>
      </c>
      <c r="C232" s="143">
        <f>$C$214</f>
        <v>9.9266055045871155</v>
      </c>
      <c r="D232" s="143"/>
      <c r="E232" s="143">
        <f>(($D$19*F54)-F54)</f>
        <v>-111239.35000000009</v>
      </c>
      <c r="F232" s="143"/>
      <c r="G232" s="143" t="str">
        <f t="shared" si="11"/>
        <v/>
      </c>
      <c r="H232" s="138"/>
      <c r="I232" s="138"/>
      <c r="J232" s="138"/>
      <c r="K232" s="138"/>
      <c r="L232" s="138"/>
      <c r="M232" s="138"/>
      <c r="N232" s="138"/>
      <c r="O232" s="138"/>
      <c r="P232" s="138"/>
    </row>
    <row r="233" spans="1:16" x14ac:dyDescent="0.3">
      <c r="A233" s="143">
        <v>7</v>
      </c>
      <c r="B233" s="143"/>
      <c r="C233" s="143">
        <f>IF(B53="",0,((((-C232+D53)/(C31*F31))^-1-D31^-1)*F42*1000))</f>
        <v>95.85924644971962</v>
      </c>
      <c r="D233" s="143">
        <f>IF(C233=0,"",C233)</f>
        <v>95.85924644971962</v>
      </c>
      <c r="E233" s="143">
        <f>IF(B53="",0,(C233/B53)*F53-F53)</f>
        <v>128252.39451052947</v>
      </c>
      <c r="F233" s="143">
        <f>IF(E232=0,0,(E232+E233))</f>
        <v>17013.044510529377</v>
      </c>
      <c r="G233" s="143" t="str">
        <f t="shared" si="11"/>
        <v/>
      </c>
      <c r="H233" s="138"/>
      <c r="I233" s="138"/>
      <c r="J233" s="138"/>
      <c r="K233" s="138"/>
      <c r="L233" s="138"/>
      <c r="M233" s="138"/>
      <c r="N233" s="138"/>
      <c r="O233" s="138"/>
      <c r="P233" s="138"/>
    </row>
    <row r="234" spans="1:16" x14ac:dyDescent="0.3">
      <c r="A234" s="138"/>
      <c r="B234" s="143"/>
      <c r="C234" s="144"/>
      <c r="D234" s="143"/>
      <c r="E234" s="143"/>
      <c r="F234" s="143"/>
      <c r="G234" s="143" t="str">
        <f t="shared" si="11"/>
        <v/>
      </c>
      <c r="H234" s="138"/>
      <c r="I234" s="138"/>
      <c r="J234" s="138"/>
      <c r="K234" s="138"/>
      <c r="L234" s="138"/>
      <c r="M234" s="138"/>
      <c r="N234" s="138"/>
      <c r="O234" s="138"/>
      <c r="P234" s="138"/>
    </row>
    <row r="235" spans="1:16" x14ac:dyDescent="0.3">
      <c r="A235" s="138"/>
      <c r="B235" s="143"/>
      <c r="C235" s="144"/>
      <c r="D235" s="138"/>
      <c r="E235" s="143"/>
      <c r="F235" s="143"/>
      <c r="G235" s="143" t="str">
        <f t="shared" si="11"/>
        <v/>
      </c>
      <c r="H235" s="138"/>
      <c r="I235" s="138"/>
      <c r="J235" s="138"/>
      <c r="K235" s="138"/>
      <c r="L235" s="138"/>
      <c r="M235" s="138"/>
      <c r="N235" s="138"/>
      <c r="O235" s="138"/>
      <c r="P235" s="138"/>
    </row>
    <row r="236" spans="1:16" x14ac:dyDescent="0.3">
      <c r="A236" s="138"/>
      <c r="B236" s="143"/>
      <c r="C236" s="144"/>
      <c r="D236" s="138"/>
      <c r="E236" s="143"/>
      <c r="F236" s="143"/>
      <c r="G236" s="143" t="str">
        <f t="shared" si="11"/>
        <v/>
      </c>
      <c r="H236" s="138"/>
      <c r="I236" s="138"/>
      <c r="J236" s="138"/>
      <c r="K236" s="138"/>
      <c r="L236" s="138"/>
      <c r="M236" s="138"/>
      <c r="N236" s="138"/>
      <c r="O236" s="138"/>
      <c r="P236" s="138"/>
    </row>
    <row r="237" spans="1:16" x14ac:dyDescent="0.3">
      <c r="A237" s="138"/>
      <c r="B237" s="143"/>
      <c r="C237" s="145" t="s">
        <v>66</v>
      </c>
      <c r="D237" s="143">
        <f>IF(D238=0,1,D238)</f>
        <v>90.772696186922118</v>
      </c>
      <c r="E237" s="145" t="s">
        <v>68</v>
      </c>
      <c r="F237" s="143">
        <f>SUM(F68:F233)+G237</f>
        <v>1049761.0903207238</v>
      </c>
      <c r="G237" s="143">
        <f>SUM(G68:G233)</f>
        <v>-22914.388795849634</v>
      </c>
      <c r="H237" s="144" t="s">
        <v>67</v>
      </c>
      <c r="I237" s="138"/>
      <c r="J237" s="138"/>
      <c r="K237" s="138"/>
      <c r="L237" s="138"/>
      <c r="M237" s="138"/>
      <c r="N237" s="138"/>
      <c r="O237" s="138"/>
      <c r="P237" s="138"/>
    </row>
    <row r="238" spans="1:16" x14ac:dyDescent="0.3">
      <c r="A238" s="138"/>
      <c r="B238" s="143"/>
      <c r="C238" s="145" t="s">
        <v>75</v>
      </c>
      <c r="D238" s="143">
        <f>MIN(D68:D233)</f>
        <v>90.772696186922118</v>
      </c>
      <c r="E238" s="143"/>
      <c r="F238" s="143"/>
      <c r="G238" s="138"/>
      <c r="H238" s="138"/>
      <c r="I238" s="138"/>
      <c r="J238" s="138"/>
      <c r="K238" s="138"/>
      <c r="L238" s="138"/>
      <c r="M238" s="138"/>
      <c r="N238" s="138"/>
      <c r="O238" s="138"/>
      <c r="P238" s="138"/>
    </row>
    <row r="239" spans="1:16" x14ac:dyDescent="0.3">
      <c r="A239" s="138"/>
      <c r="B239" s="143"/>
      <c r="C239" s="138"/>
      <c r="D239" s="138"/>
      <c r="E239" s="145" t="s">
        <v>70</v>
      </c>
      <c r="F239" s="143">
        <f>COUNT(F68:F233)-G239</f>
        <v>50</v>
      </c>
      <c r="G239" s="143">
        <f>COUNT(G68:G233)</f>
        <v>6</v>
      </c>
      <c r="H239" s="144" t="s">
        <v>69</v>
      </c>
      <c r="I239" s="138"/>
      <c r="J239" s="138"/>
      <c r="K239" s="138"/>
      <c r="L239" s="138"/>
      <c r="M239" s="138"/>
      <c r="N239" s="138"/>
      <c r="O239" s="138"/>
      <c r="P239" s="138"/>
    </row>
    <row r="240" spans="1:16" x14ac:dyDescent="0.3">
      <c r="A240" s="138"/>
      <c r="B240" s="143"/>
      <c r="C240" s="144"/>
      <c r="D240" s="138"/>
      <c r="E240" s="143"/>
      <c r="F240" s="143"/>
      <c r="G240" s="138"/>
      <c r="H240" s="138"/>
      <c r="I240" s="138"/>
      <c r="J240" s="138"/>
      <c r="K240" s="138"/>
      <c r="L240" s="138"/>
      <c r="M240" s="138"/>
      <c r="N240" s="138"/>
      <c r="O240" s="138"/>
      <c r="P240" s="138"/>
    </row>
    <row r="241" spans="1:16" x14ac:dyDescent="0.3">
      <c r="A241" s="138"/>
      <c r="B241" s="143"/>
      <c r="C241" s="144"/>
      <c r="D241" s="138"/>
      <c r="E241" s="145" t="s">
        <v>71</v>
      </c>
      <c r="F241" s="143">
        <f>(F237/F239)</f>
        <v>20995.221806414476</v>
      </c>
      <c r="G241" s="143">
        <f>IF(G239=0,"OK",(G237/G239))</f>
        <v>-3819.0647993082725</v>
      </c>
      <c r="H241" s="144" t="s">
        <v>72</v>
      </c>
      <c r="I241" s="138"/>
      <c r="J241" s="138"/>
      <c r="K241" s="138"/>
      <c r="L241" s="138"/>
      <c r="M241" s="138"/>
      <c r="N241" s="138"/>
      <c r="O241" s="138"/>
      <c r="P241" s="138"/>
    </row>
    <row r="242" spans="1:16" x14ac:dyDescent="0.3">
      <c r="A242" s="138"/>
      <c r="B242" s="143"/>
      <c r="C242" s="144"/>
      <c r="D242" s="138"/>
      <c r="E242" s="144"/>
      <c r="F242" s="144"/>
      <c r="G242" s="138"/>
      <c r="H242" s="138"/>
      <c r="I242" s="138"/>
      <c r="J242" s="138"/>
      <c r="K242" s="138"/>
      <c r="L242" s="138"/>
      <c r="M242" s="138"/>
      <c r="N242" s="138"/>
      <c r="O242" s="138"/>
      <c r="P242" s="138"/>
    </row>
    <row r="243" spans="1:16" x14ac:dyDescent="0.3">
      <c r="A243" s="138"/>
      <c r="B243" s="143"/>
      <c r="C243" s="144"/>
      <c r="D243" s="138"/>
      <c r="E243" s="138"/>
      <c r="F243" s="145"/>
      <c r="G243" s="143"/>
      <c r="H243" s="143"/>
      <c r="I243" s="138"/>
      <c r="J243" s="138"/>
      <c r="K243" s="138"/>
      <c r="L243" s="138"/>
      <c r="M243" s="138"/>
      <c r="N243" s="138"/>
      <c r="O243" s="138"/>
      <c r="P243" s="138"/>
    </row>
    <row r="244" spans="1:16" x14ac:dyDescent="0.3">
      <c r="A244" s="138"/>
      <c r="B244" s="143"/>
      <c r="C244" s="138"/>
      <c r="D244" s="138"/>
      <c r="E244" s="138"/>
      <c r="F244" s="138"/>
      <c r="G244" s="138"/>
      <c r="H244" s="138"/>
      <c r="I244" s="138"/>
      <c r="J244" s="138"/>
      <c r="K244" s="138"/>
      <c r="L244" s="138"/>
      <c r="M244" s="138"/>
      <c r="N244" s="138"/>
      <c r="O244" s="138"/>
      <c r="P244" s="138"/>
    </row>
    <row r="245" spans="1:16" x14ac:dyDescent="0.3">
      <c r="A245" s="138"/>
      <c r="B245" s="143"/>
      <c r="C245" s="138"/>
      <c r="D245" s="138"/>
      <c r="E245" s="138"/>
      <c r="F245" s="138"/>
      <c r="G245" s="138"/>
      <c r="H245" s="138"/>
      <c r="I245" s="138"/>
      <c r="J245" s="138"/>
      <c r="K245" s="138"/>
      <c r="L245" s="138"/>
      <c r="M245" s="138"/>
      <c r="N245" s="138"/>
      <c r="O245" s="138"/>
      <c r="P245" s="138"/>
    </row>
    <row r="246" spans="1:16" x14ac:dyDescent="0.3">
      <c r="A246" s="138"/>
      <c r="B246" s="143"/>
      <c r="C246" s="138"/>
      <c r="D246" s="138"/>
      <c r="E246" s="138"/>
      <c r="F246" s="138"/>
      <c r="G246" s="138"/>
      <c r="H246" s="138"/>
      <c r="I246" s="138"/>
      <c r="J246" s="138"/>
      <c r="K246" s="138"/>
      <c r="L246" s="138"/>
      <c r="M246" s="138"/>
      <c r="N246" s="138"/>
      <c r="O246" s="138"/>
      <c r="P246" s="138"/>
    </row>
    <row r="247" spans="1:16" x14ac:dyDescent="0.3">
      <c r="A247" s="138"/>
      <c r="B247" s="143"/>
      <c r="C247" s="138"/>
      <c r="D247" s="138"/>
      <c r="E247" s="138"/>
      <c r="F247" s="138"/>
      <c r="G247" s="138"/>
      <c r="H247" s="138"/>
      <c r="I247" s="138"/>
      <c r="J247" s="138"/>
      <c r="K247" s="138"/>
      <c r="L247" s="138"/>
      <c r="M247" s="138"/>
      <c r="N247" s="138"/>
      <c r="O247" s="138"/>
      <c r="P247" s="138"/>
    </row>
    <row r="248" spans="1:16" x14ac:dyDescent="0.3">
      <c r="A248" s="138"/>
      <c r="B248" s="143"/>
      <c r="C248" s="138"/>
      <c r="D248" s="138"/>
      <c r="E248" s="138"/>
      <c r="F248" s="138"/>
      <c r="G248" s="138"/>
      <c r="H248" s="138"/>
      <c r="I248" s="138"/>
      <c r="J248" s="138"/>
      <c r="K248" s="138"/>
      <c r="L248" s="138"/>
      <c r="M248" s="138"/>
      <c r="N248" s="138"/>
      <c r="O248" s="138"/>
      <c r="P248" s="138"/>
    </row>
    <row r="249" spans="1:16" x14ac:dyDescent="0.3">
      <c r="A249" s="138"/>
      <c r="B249" s="141"/>
      <c r="C249" s="138"/>
      <c r="D249" s="138"/>
      <c r="E249" s="138"/>
      <c r="F249" s="138"/>
      <c r="G249" s="138"/>
      <c r="H249" s="138"/>
      <c r="I249" s="138"/>
      <c r="J249" s="138"/>
      <c r="K249" s="138"/>
      <c r="L249" s="138"/>
      <c r="M249" s="138"/>
      <c r="N249" s="138"/>
      <c r="O249" s="138"/>
      <c r="P249" s="138"/>
    </row>
    <row r="250" spans="1:16" x14ac:dyDescent="0.3">
      <c r="A250" s="138"/>
      <c r="B250" s="141"/>
      <c r="C250" s="138"/>
      <c r="D250" s="138"/>
      <c r="E250" s="138"/>
      <c r="F250" s="138"/>
      <c r="G250" s="138"/>
      <c r="H250" s="138"/>
      <c r="I250" s="138"/>
      <c r="J250" s="138"/>
      <c r="K250" s="138"/>
      <c r="L250" s="138"/>
      <c r="M250" s="138"/>
      <c r="N250" s="138"/>
      <c r="O250" s="138"/>
      <c r="P250" s="138"/>
    </row>
    <row r="251" spans="1:16" x14ac:dyDescent="0.3">
      <c r="A251" s="138"/>
      <c r="B251" s="138"/>
      <c r="C251" s="138"/>
      <c r="D251" s="138"/>
      <c r="E251" s="138"/>
      <c r="F251" s="138"/>
      <c r="G251" s="138"/>
      <c r="H251" s="138"/>
      <c r="I251" s="138"/>
      <c r="J251" s="138"/>
      <c r="K251" s="138"/>
      <c r="L251" s="138"/>
      <c r="M251" s="138"/>
      <c r="N251" s="138"/>
      <c r="O251" s="138"/>
      <c r="P251" s="138"/>
    </row>
    <row r="252" spans="1:16" x14ac:dyDescent="0.3">
      <c r="A252" s="138"/>
      <c r="B252" s="138"/>
      <c r="C252" s="138"/>
      <c r="D252" s="138"/>
      <c r="E252" s="138"/>
      <c r="F252" s="138"/>
      <c r="G252" s="138"/>
      <c r="H252" s="138"/>
      <c r="I252" s="138"/>
      <c r="J252" s="138"/>
      <c r="K252" s="138"/>
      <c r="L252" s="138"/>
      <c r="M252" s="138"/>
      <c r="N252" s="138"/>
      <c r="O252" s="138"/>
      <c r="P252" s="138"/>
    </row>
    <row r="253" spans="1:16" x14ac:dyDescent="0.3">
      <c r="A253" s="138"/>
      <c r="B253" s="138"/>
      <c r="C253" s="138"/>
      <c r="D253" s="138"/>
      <c r="E253" s="138"/>
      <c r="F253" s="138"/>
      <c r="G253" s="138"/>
      <c r="H253" s="138"/>
      <c r="I253" s="138"/>
      <c r="J253" s="138"/>
      <c r="K253" s="138"/>
      <c r="L253" s="138"/>
      <c r="M253" s="138"/>
      <c r="N253" s="138"/>
      <c r="O253" s="138"/>
      <c r="P253" s="138"/>
    </row>
    <row r="254" spans="1:16" x14ac:dyDescent="0.3">
      <c r="A254" s="138"/>
      <c r="B254" s="138"/>
      <c r="C254" s="138"/>
      <c r="D254" s="138"/>
      <c r="E254" s="138"/>
      <c r="F254" s="138"/>
      <c r="G254" s="138"/>
      <c r="H254" s="138"/>
      <c r="I254" s="138"/>
      <c r="J254" s="138"/>
      <c r="K254" s="138"/>
      <c r="L254" s="138"/>
      <c r="M254" s="138"/>
      <c r="N254" s="138"/>
      <c r="O254" s="138"/>
      <c r="P254" s="138"/>
    </row>
    <row r="255" spans="1:16" x14ac:dyDescent="0.3">
      <c r="A255" s="138"/>
      <c r="B255" s="138"/>
      <c r="C255" s="138"/>
      <c r="D255" s="138"/>
      <c r="E255" s="138"/>
      <c r="F255" s="138"/>
      <c r="G255" s="138"/>
      <c r="H255" s="138"/>
      <c r="I255" s="138"/>
      <c r="J255" s="138"/>
      <c r="K255" s="138"/>
    </row>
  </sheetData>
  <sheetProtection algorithmName="SHA-512" hashValue="ZOF8z0dLwYoxQCERtzW5P9cscYROIOfSte2Ij0O24x6U5EJxArpPR3CAzLcNIledeeAwmr/NP3jfeVDhVbzoMA==" saltValue="TjaAAxEgv2D4atSMrd5WNg==" spinCount="100000" sheet="1" objects="1" scenarios="1"/>
  <mergeCells count="4">
    <mergeCell ref="E1:F1"/>
    <mergeCell ref="C7:D7"/>
    <mergeCell ref="E12:F14"/>
    <mergeCell ref="E7:F9"/>
  </mergeCells>
  <dataValidations count="1">
    <dataValidation type="decimal" allowBlank="1" showInputMessage="1" showErrorMessage="1" sqref="D19" xr:uid="{F25D1D12-0BBB-4C47-8BF8-F56B4DF31130}">
      <formula1>0.9</formula1>
      <formula2>0.99</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2F4CC-B124-4D44-B3B6-5869EEFECF33}">
  <dimension ref="A1:H50"/>
  <sheetViews>
    <sheetView workbookViewId="0">
      <selection activeCell="P22" sqref="P22"/>
    </sheetView>
  </sheetViews>
  <sheetFormatPr baseColWidth="10" defaultRowHeight="14.4" x14ac:dyDescent="0.3"/>
  <cols>
    <col min="7" max="7" width="12.5546875" customWidth="1"/>
    <col min="8" max="8" width="1.33203125" hidden="1" customWidth="1"/>
  </cols>
  <sheetData>
    <row r="1" spans="1:7" x14ac:dyDescent="0.3">
      <c r="A1" s="69"/>
      <c r="B1" s="69"/>
      <c r="C1" s="69"/>
      <c r="D1" s="69"/>
      <c r="E1" s="69"/>
      <c r="F1" s="69"/>
      <c r="G1" s="69"/>
    </row>
    <row r="2" spans="1:7" x14ac:dyDescent="0.3">
      <c r="A2" s="69"/>
      <c r="B2" s="69"/>
      <c r="C2" s="69"/>
      <c r="D2" s="69"/>
      <c r="E2" s="69"/>
      <c r="F2" s="69"/>
      <c r="G2" s="69"/>
    </row>
    <row r="3" spans="1:7" x14ac:dyDescent="0.3">
      <c r="A3" s="69"/>
      <c r="B3" s="69"/>
      <c r="C3" s="69"/>
      <c r="D3" s="69"/>
      <c r="E3" s="69"/>
      <c r="F3" s="69"/>
      <c r="G3" s="69"/>
    </row>
    <row r="4" spans="1:7" x14ac:dyDescent="0.3">
      <c r="A4" s="69"/>
      <c r="B4" s="69"/>
      <c r="C4" s="69"/>
      <c r="D4" s="69"/>
      <c r="E4" s="69"/>
      <c r="F4" s="69"/>
      <c r="G4" s="69"/>
    </row>
    <row r="5" spans="1:7" x14ac:dyDescent="0.3">
      <c r="A5" s="69"/>
      <c r="B5" s="69"/>
      <c r="C5" s="69"/>
      <c r="D5" s="69"/>
      <c r="E5" s="69"/>
      <c r="F5" s="69"/>
      <c r="G5" s="69"/>
    </row>
    <row r="6" spans="1:7" x14ac:dyDescent="0.3">
      <c r="A6" s="69"/>
      <c r="B6" s="69"/>
      <c r="C6" s="69"/>
      <c r="D6" s="69"/>
      <c r="E6" s="69"/>
      <c r="F6" s="69"/>
      <c r="G6" s="69"/>
    </row>
    <row r="7" spans="1:7" x14ac:dyDescent="0.3">
      <c r="A7" s="69"/>
      <c r="B7" s="69"/>
      <c r="C7" s="69"/>
      <c r="D7" s="69"/>
      <c r="E7" s="69"/>
      <c r="F7" s="69"/>
      <c r="G7" s="69"/>
    </row>
    <row r="8" spans="1:7" x14ac:dyDescent="0.3">
      <c r="A8" s="69"/>
      <c r="B8" s="69"/>
      <c r="C8" s="69"/>
      <c r="D8" s="69"/>
      <c r="E8" s="69"/>
      <c r="F8" s="69"/>
      <c r="G8" s="69"/>
    </row>
    <row r="9" spans="1:7" x14ac:dyDescent="0.3">
      <c r="A9" s="69"/>
      <c r="B9" s="69"/>
      <c r="C9" s="69"/>
      <c r="D9" s="69"/>
      <c r="E9" s="69"/>
      <c r="F9" s="69"/>
      <c r="G9" s="69"/>
    </row>
    <row r="10" spans="1:7" x14ac:dyDescent="0.3">
      <c r="A10" s="69"/>
      <c r="B10" s="69"/>
      <c r="C10" s="69"/>
      <c r="D10" s="69"/>
      <c r="E10" s="69"/>
      <c r="F10" s="69"/>
      <c r="G10" s="69"/>
    </row>
    <row r="11" spans="1:7" x14ac:dyDescent="0.3">
      <c r="A11" s="69"/>
      <c r="B11" s="69"/>
      <c r="C11" s="69"/>
      <c r="D11" s="69"/>
      <c r="E11" s="69"/>
      <c r="F11" s="69"/>
      <c r="G11" s="69"/>
    </row>
    <row r="12" spans="1:7" x14ac:dyDescent="0.3">
      <c r="A12" s="69"/>
      <c r="B12" s="69"/>
      <c r="C12" s="69"/>
      <c r="D12" s="69"/>
      <c r="E12" s="69"/>
      <c r="F12" s="69"/>
      <c r="G12" s="69"/>
    </row>
    <row r="13" spans="1:7" x14ac:dyDescent="0.3">
      <c r="A13" s="69"/>
      <c r="B13" s="69"/>
      <c r="C13" s="69"/>
      <c r="D13" s="69"/>
      <c r="E13" s="69"/>
      <c r="F13" s="69"/>
      <c r="G13" s="69"/>
    </row>
    <row r="14" spans="1:7" x14ac:dyDescent="0.3">
      <c r="A14" s="69"/>
      <c r="B14" s="69"/>
      <c r="C14" s="69"/>
      <c r="D14" s="69"/>
      <c r="E14" s="69"/>
      <c r="F14" s="69"/>
      <c r="G14" s="69"/>
    </row>
    <row r="15" spans="1:7" x14ac:dyDescent="0.3">
      <c r="A15" s="69"/>
      <c r="B15" s="69"/>
      <c r="C15" s="69"/>
      <c r="D15" s="69"/>
      <c r="E15" s="69"/>
      <c r="F15" s="69"/>
      <c r="G15" s="69"/>
    </row>
    <row r="16" spans="1:7" x14ac:dyDescent="0.3">
      <c r="A16" s="69"/>
      <c r="B16" s="69"/>
      <c r="C16" s="69"/>
      <c r="D16" s="69"/>
      <c r="E16" s="69"/>
      <c r="F16" s="69"/>
      <c r="G16" s="69"/>
    </row>
    <row r="17" spans="1:7" x14ac:dyDescent="0.3">
      <c r="A17" s="69"/>
      <c r="B17" s="69"/>
      <c r="C17" s="69"/>
      <c r="D17" s="69"/>
      <c r="E17" s="69"/>
      <c r="F17" s="69"/>
      <c r="G17" s="69"/>
    </row>
    <row r="18" spans="1:7" x14ac:dyDescent="0.3">
      <c r="A18" s="69"/>
      <c r="B18" s="69"/>
      <c r="C18" s="69"/>
      <c r="D18" s="69"/>
      <c r="E18" s="69"/>
      <c r="F18" s="69"/>
      <c r="G18" s="69"/>
    </row>
    <row r="19" spans="1:7" x14ac:dyDescent="0.3">
      <c r="A19" s="69"/>
      <c r="B19" s="69"/>
      <c r="C19" s="69"/>
      <c r="D19" s="69"/>
      <c r="E19" s="69"/>
      <c r="F19" s="69"/>
      <c r="G19" s="69"/>
    </row>
    <row r="20" spans="1:7" x14ac:dyDescent="0.3">
      <c r="A20" s="69"/>
      <c r="B20" s="69"/>
      <c r="C20" s="69"/>
      <c r="D20" s="69"/>
      <c r="E20" s="69"/>
      <c r="F20" s="69"/>
      <c r="G20" s="69"/>
    </row>
    <row r="21" spans="1:7" x14ac:dyDescent="0.3">
      <c r="A21" s="69"/>
      <c r="B21" s="69"/>
      <c r="C21" s="69"/>
      <c r="D21" s="69"/>
      <c r="E21" s="69"/>
      <c r="F21" s="69"/>
      <c r="G21" s="69"/>
    </row>
    <row r="22" spans="1:7" x14ac:dyDescent="0.3">
      <c r="A22" s="69"/>
      <c r="B22" s="69"/>
      <c r="C22" s="69"/>
      <c r="D22" s="69"/>
      <c r="E22" s="69"/>
      <c r="F22" s="69"/>
      <c r="G22" s="69"/>
    </row>
    <row r="23" spans="1:7" x14ac:dyDescent="0.3">
      <c r="A23" s="69"/>
      <c r="B23" s="69"/>
      <c r="C23" s="69"/>
      <c r="D23" s="69"/>
      <c r="E23" s="69"/>
      <c r="F23" s="69"/>
      <c r="G23" s="69"/>
    </row>
    <row r="24" spans="1:7" x14ac:dyDescent="0.3">
      <c r="A24" s="69"/>
      <c r="B24" s="69"/>
      <c r="C24" s="69"/>
      <c r="D24" s="69"/>
      <c r="E24" s="69"/>
      <c r="F24" s="69"/>
      <c r="G24" s="69"/>
    </row>
    <row r="25" spans="1:7" x14ac:dyDescent="0.3">
      <c r="A25" s="69"/>
      <c r="B25" s="69"/>
      <c r="C25" s="69"/>
      <c r="D25" s="69"/>
      <c r="E25" s="69"/>
      <c r="F25" s="69"/>
      <c r="G25" s="69"/>
    </row>
    <row r="26" spans="1:7" x14ac:dyDescent="0.3">
      <c r="A26" s="69"/>
      <c r="B26" s="69"/>
      <c r="C26" s="69"/>
      <c r="D26" s="69"/>
      <c r="E26" s="69"/>
      <c r="F26" s="69"/>
      <c r="G26" s="69"/>
    </row>
    <row r="27" spans="1:7" x14ac:dyDescent="0.3">
      <c r="A27" s="69"/>
      <c r="B27" s="69"/>
      <c r="C27" s="69"/>
      <c r="D27" s="69"/>
      <c r="E27" s="69"/>
      <c r="F27" s="69"/>
      <c r="G27" s="69"/>
    </row>
    <row r="28" spans="1:7" x14ac:dyDescent="0.3">
      <c r="A28" s="69"/>
      <c r="B28" s="69"/>
      <c r="C28" s="69"/>
      <c r="D28" s="69"/>
      <c r="E28" s="69"/>
      <c r="F28" s="69"/>
      <c r="G28" s="69"/>
    </row>
    <row r="29" spans="1:7" x14ac:dyDescent="0.3">
      <c r="A29" s="69"/>
      <c r="B29" s="69"/>
      <c r="C29" s="69"/>
      <c r="D29" s="69"/>
      <c r="E29" s="69"/>
      <c r="F29" s="69"/>
      <c r="G29" s="69"/>
    </row>
    <row r="30" spans="1:7" x14ac:dyDescent="0.3">
      <c r="A30" s="69"/>
      <c r="B30" s="69"/>
      <c r="C30" s="69"/>
      <c r="D30" s="69"/>
      <c r="E30" s="69"/>
      <c r="F30" s="69"/>
      <c r="G30" s="69"/>
    </row>
    <row r="31" spans="1:7" x14ac:dyDescent="0.3">
      <c r="A31" s="69"/>
      <c r="B31" s="69"/>
      <c r="C31" s="69"/>
      <c r="D31" s="69"/>
      <c r="E31" s="69"/>
      <c r="F31" s="69"/>
      <c r="G31" s="69"/>
    </row>
    <row r="32" spans="1:7" x14ac:dyDescent="0.3">
      <c r="A32" s="69"/>
      <c r="B32" s="69"/>
      <c r="C32" s="69"/>
      <c r="D32" s="69"/>
      <c r="E32" s="69"/>
      <c r="F32" s="69"/>
      <c r="G32" s="69"/>
    </row>
    <row r="33" spans="1:7" x14ac:dyDescent="0.3">
      <c r="A33" s="69"/>
      <c r="B33" s="69"/>
      <c r="C33" s="69"/>
      <c r="D33" s="69"/>
      <c r="E33" s="69"/>
      <c r="F33" s="69"/>
      <c r="G33" s="69"/>
    </row>
    <row r="34" spans="1:7" x14ac:dyDescent="0.3">
      <c r="A34" s="69"/>
      <c r="B34" s="69"/>
      <c r="C34" s="69"/>
      <c r="D34" s="69"/>
      <c r="E34" s="69"/>
      <c r="F34" s="69"/>
      <c r="G34" s="69"/>
    </row>
    <row r="35" spans="1:7" x14ac:dyDescent="0.3">
      <c r="A35" s="69"/>
      <c r="B35" s="69"/>
      <c r="C35" s="69"/>
      <c r="D35" s="69"/>
      <c r="E35" s="69"/>
      <c r="F35" s="69"/>
      <c r="G35" s="69"/>
    </row>
    <row r="36" spans="1:7" x14ac:dyDescent="0.3">
      <c r="A36" s="69"/>
      <c r="B36" s="69"/>
      <c r="C36" s="69"/>
      <c r="D36" s="69"/>
      <c r="E36" s="69"/>
      <c r="F36" s="69"/>
      <c r="G36" s="69"/>
    </row>
    <row r="37" spans="1:7" x14ac:dyDescent="0.3">
      <c r="A37" s="69"/>
      <c r="B37" s="69"/>
      <c r="C37" s="69"/>
      <c r="D37" s="69"/>
      <c r="E37" s="69"/>
      <c r="F37" s="69"/>
      <c r="G37" s="69"/>
    </row>
    <row r="38" spans="1:7" x14ac:dyDescent="0.3">
      <c r="A38" s="69"/>
      <c r="B38" s="69"/>
      <c r="C38" s="69"/>
      <c r="D38" s="69"/>
      <c r="E38" s="69"/>
      <c r="F38" s="69"/>
      <c r="G38" s="69"/>
    </row>
    <row r="39" spans="1:7" x14ac:dyDescent="0.3">
      <c r="A39" s="69"/>
      <c r="B39" s="69"/>
      <c r="C39" s="69"/>
      <c r="D39" s="69"/>
      <c r="E39" s="69"/>
      <c r="F39" s="69"/>
      <c r="G39" s="69"/>
    </row>
    <row r="40" spans="1:7" x14ac:dyDescent="0.3">
      <c r="A40" s="69"/>
      <c r="B40" s="69"/>
      <c r="C40" s="69"/>
      <c r="D40" s="69"/>
      <c r="E40" s="69"/>
      <c r="F40" s="69"/>
      <c r="G40" s="69"/>
    </row>
    <row r="41" spans="1:7" x14ac:dyDescent="0.3">
      <c r="A41" s="69"/>
      <c r="B41" s="69"/>
      <c r="C41" s="69"/>
      <c r="D41" s="69"/>
      <c r="E41" s="69"/>
      <c r="F41" s="69"/>
      <c r="G41" s="69"/>
    </row>
    <row r="42" spans="1:7" x14ac:dyDescent="0.3">
      <c r="A42" s="69"/>
      <c r="B42" s="69"/>
      <c r="C42" s="69"/>
      <c r="D42" s="69"/>
      <c r="E42" s="69"/>
      <c r="F42" s="69"/>
      <c r="G42" s="69"/>
    </row>
    <row r="43" spans="1:7" x14ac:dyDescent="0.3">
      <c r="A43" s="69"/>
      <c r="B43" s="69"/>
      <c r="C43" s="69"/>
      <c r="D43" s="69"/>
      <c r="E43" s="69"/>
      <c r="F43" s="69"/>
      <c r="G43" s="69"/>
    </row>
    <row r="44" spans="1:7" x14ac:dyDescent="0.3">
      <c r="A44" s="69"/>
      <c r="B44" s="69"/>
      <c r="C44" s="69"/>
      <c r="D44" s="69"/>
      <c r="E44" s="69"/>
      <c r="F44" s="69"/>
      <c r="G44" s="69"/>
    </row>
    <row r="45" spans="1:7" x14ac:dyDescent="0.3">
      <c r="A45" s="69"/>
      <c r="B45" s="69"/>
      <c r="C45" s="69"/>
      <c r="D45" s="69"/>
      <c r="E45" s="69"/>
      <c r="F45" s="69"/>
      <c r="G45" s="69"/>
    </row>
    <row r="46" spans="1:7" x14ac:dyDescent="0.3">
      <c r="A46" s="69"/>
      <c r="B46" s="69"/>
      <c r="C46" s="69"/>
      <c r="D46" s="69"/>
      <c r="E46" s="69"/>
      <c r="F46" s="69"/>
      <c r="G46" s="69"/>
    </row>
    <row r="47" spans="1:7" x14ac:dyDescent="0.3">
      <c r="A47" s="69"/>
      <c r="B47" s="69"/>
      <c r="C47" s="69"/>
      <c r="D47" s="69"/>
      <c r="E47" s="69"/>
      <c r="F47" s="69"/>
      <c r="G47" s="69"/>
    </row>
    <row r="48" spans="1:7" x14ac:dyDescent="0.3">
      <c r="A48" s="69"/>
      <c r="B48" s="69"/>
      <c r="C48" s="69"/>
      <c r="D48" s="69"/>
      <c r="E48" s="69"/>
      <c r="F48" s="69"/>
      <c r="G48" s="69"/>
    </row>
    <row r="49" spans="1:7" x14ac:dyDescent="0.3">
      <c r="A49" s="69"/>
      <c r="B49" s="69"/>
      <c r="C49" s="69"/>
      <c r="D49" s="69"/>
      <c r="E49" s="69"/>
      <c r="F49" s="69"/>
      <c r="G49" s="69"/>
    </row>
    <row r="50" spans="1:7" x14ac:dyDescent="0.3">
      <c r="A50" s="69"/>
      <c r="B50" s="69"/>
      <c r="C50" s="69"/>
      <c r="D50" s="69"/>
      <c r="E50" s="69"/>
      <c r="F50" s="69"/>
      <c r="G50" s="69"/>
    </row>
  </sheetData>
  <sheetProtection algorithmName="SHA-512" hashValue="7bw0BwpBZMIhP/Uvc37FXr0OCfiaiZBH9+5vxRplUT46pDYnKKE3Q2gxf3l8djIFYvKixUzbTv4vNUh1Icl4eA==" saltValue="HOlgPVs50I9Tg5ZRgvu4GA==" spinCount="100000" sheet="1" objects="1" scenarios="1"/>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0AC10-FB55-4303-902A-59604E354C60}">
  <dimension ref="A1:S255"/>
  <sheetViews>
    <sheetView topLeftCell="A46" workbookViewId="0">
      <selection activeCell="C65" sqref="C65"/>
    </sheetView>
  </sheetViews>
  <sheetFormatPr baseColWidth="10" defaultRowHeight="14.4" x14ac:dyDescent="0.3"/>
  <cols>
    <col min="1" max="1" width="18.77734375" customWidth="1"/>
    <col min="2" max="2" width="28.6640625" customWidth="1"/>
    <col min="3" max="3" width="38.5546875" customWidth="1"/>
    <col min="4" max="4" width="28.33203125" customWidth="1"/>
    <col min="5" max="5" width="72" customWidth="1"/>
    <col min="6" max="6" width="31.6640625" customWidth="1"/>
    <col min="7" max="7" width="25" customWidth="1"/>
    <col min="8" max="8" width="17.33203125" customWidth="1"/>
  </cols>
  <sheetData>
    <row r="1" spans="1:6" ht="23.4" x14ac:dyDescent="0.45">
      <c r="A1" s="11" t="s">
        <v>0</v>
      </c>
      <c r="B1" s="9"/>
      <c r="C1" s="9"/>
      <c r="D1" s="9"/>
      <c r="E1" s="74"/>
      <c r="F1" s="75"/>
    </row>
    <row r="3" spans="1:6" ht="15" thickBot="1" x14ac:dyDescent="0.35"/>
    <row r="4" spans="1:6" ht="15" thickTop="1" x14ac:dyDescent="0.3">
      <c r="A4" s="10" t="s">
        <v>26</v>
      </c>
      <c r="B4" s="9"/>
      <c r="C4" s="9"/>
      <c r="D4" s="9"/>
      <c r="E4" s="42"/>
      <c r="F4" s="43"/>
    </row>
    <row r="5" spans="1:6" x14ac:dyDescent="0.3">
      <c r="E5" s="44"/>
      <c r="F5" s="45"/>
    </row>
    <row r="6" spans="1:6" x14ac:dyDescent="0.3">
      <c r="A6" s="8" t="s">
        <v>14</v>
      </c>
      <c r="B6" s="2"/>
      <c r="C6" s="2"/>
      <c r="D6" s="14"/>
      <c r="E6" s="44"/>
      <c r="F6" s="45"/>
    </row>
    <row r="7" spans="1:6" x14ac:dyDescent="0.3">
      <c r="A7" s="7" t="s">
        <v>1</v>
      </c>
      <c r="B7" s="7"/>
      <c r="C7" s="80" t="s">
        <v>76</v>
      </c>
      <c r="D7" s="81"/>
      <c r="E7" s="82" t="s">
        <v>77</v>
      </c>
      <c r="F7" s="86"/>
    </row>
    <row r="8" spans="1:6" ht="14.4" customHeight="1" x14ac:dyDescent="0.3">
      <c r="A8" s="7"/>
      <c r="B8" s="7"/>
      <c r="C8" s="7"/>
      <c r="D8" s="15"/>
      <c r="E8" s="87"/>
      <c r="F8" s="88"/>
    </row>
    <row r="9" spans="1:6" x14ac:dyDescent="0.3">
      <c r="A9" s="7" t="s">
        <v>4</v>
      </c>
      <c r="B9" s="7"/>
      <c r="C9" s="7"/>
      <c r="D9" s="40">
        <v>75</v>
      </c>
      <c r="E9" s="89"/>
      <c r="F9" s="90"/>
    </row>
    <row r="10" spans="1:6" x14ac:dyDescent="0.3">
      <c r="A10" s="7"/>
      <c r="B10" s="7"/>
      <c r="C10" s="7"/>
      <c r="D10" s="15"/>
      <c r="E10" s="44"/>
      <c r="F10" s="45"/>
    </row>
    <row r="11" spans="1:6" x14ac:dyDescent="0.3">
      <c r="A11" s="7" t="s">
        <v>5</v>
      </c>
      <c r="B11" s="7"/>
      <c r="C11" s="7"/>
      <c r="D11" s="40">
        <v>2.5</v>
      </c>
      <c r="E11" s="46"/>
      <c r="F11" s="47"/>
    </row>
    <row r="12" spans="1:6" x14ac:dyDescent="0.3">
      <c r="A12" s="7"/>
      <c r="B12" s="7"/>
      <c r="C12" s="7"/>
      <c r="D12" s="15"/>
      <c r="E12" s="82" t="str">
        <f>IF(AND(D237&gt;0,G243&lt;0.2),"OPTIMIERUNG OK!","OPTIMIERUNG ODER ÜBERTRAG UNSICHER, ERHÖHE R-FAKTOR K AUF MAX. 0,95!")</f>
        <v>OPTIMIERUNG OK!</v>
      </c>
      <c r="F12" s="83"/>
    </row>
    <row r="13" spans="1:6" ht="14.4" customHeight="1" x14ac:dyDescent="0.3">
      <c r="A13" s="7" t="s">
        <v>7</v>
      </c>
      <c r="B13" s="7"/>
      <c r="C13" s="7"/>
      <c r="D13" s="40">
        <v>0</v>
      </c>
      <c r="E13" s="84"/>
      <c r="F13" s="85"/>
    </row>
    <row r="14" spans="1:6" ht="14.4" customHeight="1" x14ac:dyDescent="0.3">
      <c r="A14" s="7"/>
      <c r="B14" s="7"/>
      <c r="C14" s="7"/>
      <c r="D14" s="15"/>
      <c r="E14" s="84"/>
      <c r="F14" s="85"/>
    </row>
    <row r="15" spans="1:6" ht="14.4" customHeight="1" x14ac:dyDescent="0.3">
      <c r="A15" s="7" t="s">
        <v>6</v>
      </c>
      <c r="B15" s="7"/>
      <c r="C15" s="7"/>
      <c r="D15" s="40">
        <v>0.14699999999999999</v>
      </c>
      <c r="E15" s="48"/>
      <c r="F15" s="49"/>
    </row>
    <row r="16" spans="1:6" x14ac:dyDescent="0.3">
      <c r="A16" s="7"/>
      <c r="B16" s="7"/>
      <c r="C16" s="7"/>
      <c r="D16" s="15"/>
      <c r="E16" s="48"/>
      <c r="F16" s="49"/>
    </row>
    <row r="17" spans="1:6" x14ac:dyDescent="0.3">
      <c r="A17" s="7" t="s">
        <v>2</v>
      </c>
      <c r="B17" s="4"/>
      <c r="C17" s="4"/>
      <c r="D17" s="40" t="s">
        <v>8</v>
      </c>
      <c r="E17" s="50"/>
      <c r="F17" s="51"/>
    </row>
    <row r="18" spans="1:6" x14ac:dyDescent="0.3">
      <c r="A18" s="2"/>
      <c r="B18" s="2"/>
      <c r="C18" s="2"/>
      <c r="D18" s="14"/>
      <c r="E18" s="48"/>
      <c r="F18" s="49"/>
    </row>
    <row r="19" spans="1:6" ht="15" thickBot="1" x14ac:dyDescent="0.35">
      <c r="B19" s="2"/>
      <c r="C19" s="52" t="s">
        <v>30</v>
      </c>
      <c r="D19" s="41">
        <v>0.92</v>
      </c>
      <c r="E19" s="53"/>
      <c r="F19" s="54"/>
    </row>
    <row r="20" spans="1:6" ht="15" thickTop="1" x14ac:dyDescent="0.3">
      <c r="A20" s="2"/>
      <c r="B20" s="2"/>
      <c r="C20" s="2"/>
      <c r="D20" s="14"/>
    </row>
    <row r="21" spans="1:6" x14ac:dyDescent="0.3">
      <c r="A21" s="20"/>
      <c r="B21" s="20"/>
      <c r="C21" s="20"/>
      <c r="D21" s="55"/>
    </row>
    <row r="22" spans="1:6" x14ac:dyDescent="0.3">
      <c r="A22" s="2"/>
      <c r="B22" s="2"/>
      <c r="C22" s="2"/>
      <c r="D22" s="56"/>
    </row>
    <row r="23" spans="1:6" x14ac:dyDescent="0.3">
      <c r="A23" s="8" t="s">
        <v>15</v>
      </c>
      <c r="B23" s="2"/>
      <c r="C23" s="2"/>
      <c r="D23" s="14"/>
    </row>
    <row r="24" spans="1:6" x14ac:dyDescent="0.3">
      <c r="A24" s="12" t="s">
        <v>28</v>
      </c>
      <c r="B24" s="12" t="s">
        <v>9</v>
      </c>
      <c r="C24" s="12" t="s">
        <v>10</v>
      </c>
      <c r="D24" s="12" t="s">
        <v>11</v>
      </c>
      <c r="E24" s="17" t="s">
        <v>12</v>
      </c>
      <c r="F24" s="17" t="s">
        <v>13</v>
      </c>
    </row>
    <row r="25" spans="1:6" x14ac:dyDescent="0.3">
      <c r="A25" s="4">
        <v>1</v>
      </c>
      <c r="B25" s="39" t="s">
        <v>35</v>
      </c>
      <c r="C25" s="39">
        <v>1440</v>
      </c>
      <c r="D25" s="39">
        <v>1.08</v>
      </c>
      <c r="E25" s="39">
        <v>0.4</v>
      </c>
      <c r="F25" s="39">
        <v>1</v>
      </c>
    </row>
    <row r="26" spans="1:6" x14ac:dyDescent="0.3">
      <c r="A26" s="4">
        <v>2</v>
      </c>
      <c r="B26" s="39" t="s">
        <v>36</v>
      </c>
      <c r="C26" s="39">
        <v>1790</v>
      </c>
      <c r="D26" s="39">
        <v>1.17</v>
      </c>
      <c r="E26" s="39">
        <v>0.4</v>
      </c>
      <c r="F26" s="39">
        <v>1</v>
      </c>
    </row>
    <row r="27" spans="1:6" x14ac:dyDescent="0.3">
      <c r="A27" s="4">
        <v>3</v>
      </c>
      <c r="B27" s="39" t="s">
        <v>51</v>
      </c>
      <c r="C27" s="39">
        <v>640</v>
      </c>
      <c r="D27" s="39">
        <v>3.25</v>
      </c>
      <c r="E27" s="39">
        <v>0.4</v>
      </c>
      <c r="F27" s="39">
        <v>1</v>
      </c>
    </row>
    <row r="28" spans="1:6" x14ac:dyDescent="0.3">
      <c r="A28" s="4">
        <v>4</v>
      </c>
      <c r="B28" s="39" t="s">
        <v>52</v>
      </c>
      <c r="C28" s="39">
        <v>255</v>
      </c>
      <c r="D28" s="39">
        <v>3.07</v>
      </c>
      <c r="E28" s="39">
        <v>0.6</v>
      </c>
      <c r="F28" s="39">
        <v>0.75</v>
      </c>
    </row>
    <row r="29" spans="1:6" x14ac:dyDescent="0.3">
      <c r="A29" s="4">
        <v>5</v>
      </c>
      <c r="B29" s="39" t="s">
        <v>53</v>
      </c>
      <c r="C29" s="39">
        <v>155</v>
      </c>
      <c r="D29" s="39">
        <v>2.1</v>
      </c>
      <c r="E29" s="39">
        <v>0.6</v>
      </c>
      <c r="F29" s="39">
        <v>0.75</v>
      </c>
    </row>
    <row r="30" spans="1:6" x14ac:dyDescent="0.3">
      <c r="A30" s="4">
        <v>6</v>
      </c>
      <c r="B30" s="39" t="s">
        <v>54</v>
      </c>
      <c r="C30" s="39">
        <v>770</v>
      </c>
      <c r="D30" s="39">
        <v>2</v>
      </c>
      <c r="E30" s="39">
        <v>0.6</v>
      </c>
      <c r="F30" s="39">
        <v>0.75</v>
      </c>
    </row>
    <row r="31" spans="1:6" x14ac:dyDescent="0.3">
      <c r="A31" s="4">
        <v>7</v>
      </c>
      <c r="B31" s="39" t="s">
        <v>55</v>
      </c>
      <c r="C31" s="39">
        <v>1000</v>
      </c>
      <c r="D31" s="39">
        <v>3</v>
      </c>
      <c r="E31" s="39">
        <v>0.6</v>
      </c>
      <c r="F31" s="39">
        <v>0.5</v>
      </c>
    </row>
    <row r="32" spans="1:6" x14ac:dyDescent="0.3">
      <c r="A32" s="4">
        <v>8</v>
      </c>
      <c r="B32" s="39" t="s">
        <v>56</v>
      </c>
      <c r="C32" s="39">
        <v>770</v>
      </c>
      <c r="D32" s="39">
        <v>3</v>
      </c>
      <c r="E32" s="39">
        <v>0.6</v>
      </c>
      <c r="F32" s="39">
        <v>1</v>
      </c>
    </row>
    <row r="34" spans="1:14" x14ac:dyDescent="0.3">
      <c r="A34" s="3" t="s">
        <v>16</v>
      </c>
    </row>
    <row r="35" spans="1:14" x14ac:dyDescent="0.3">
      <c r="A35" s="12" t="s">
        <v>28</v>
      </c>
      <c r="B35" s="12" t="s">
        <v>9</v>
      </c>
      <c r="C35" s="12" t="s">
        <v>17</v>
      </c>
      <c r="D35" s="12" t="s">
        <v>18</v>
      </c>
      <c r="E35" s="12" t="s">
        <v>19</v>
      </c>
      <c r="F35" s="12" t="s">
        <v>20</v>
      </c>
      <c r="G35" s="12" t="s">
        <v>42</v>
      </c>
      <c r="H35" s="12" t="s">
        <v>43</v>
      </c>
      <c r="I35" s="29"/>
    </row>
    <row r="36" spans="1:14" x14ac:dyDescent="0.3">
      <c r="A36" s="4">
        <v>1</v>
      </c>
      <c r="B36" s="6" t="str">
        <f t="shared" ref="B36:B42" si="0">B25</f>
        <v>Aussenwände</v>
      </c>
      <c r="C36" s="39" t="s">
        <v>37</v>
      </c>
      <c r="D36" s="39">
        <v>40</v>
      </c>
      <c r="E36" s="39">
        <v>78400</v>
      </c>
      <c r="F36" s="39">
        <v>3.5999999999999997E-2</v>
      </c>
      <c r="G36" s="39">
        <v>50</v>
      </c>
      <c r="H36" s="39">
        <v>0</v>
      </c>
    </row>
    <row r="37" spans="1:14" x14ac:dyDescent="0.3">
      <c r="A37" s="4">
        <v>2</v>
      </c>
      <c r="B37" s="6" t="str">
        <f t="shared" si="0"/>
        <v>Steildach</v>
      </c>
      <c r="C37" s="39" t="s">
        <v>37</v>
      </c>
      <c r="D37" s="39">
        <v>80</v>
      </c>
      <c r="E37" s="39">
        <v>156800</v>
      </c>
      <c r="F37" s="39">
        <v>3.7999999999999999E-2</v>
      </c>
      <c r="G37" s="39">
        <v>50</v>
      </c>
      <c r="H37" s="39">
        <v>0</v>
      </c>
    </row>
    <row r="38" spans="1:14" x14ac:dyDescent="0.3">
      <c r="A38" s="4">
        <v>3</v>
      </c>
      <c r="B38" s="6" t="str">
        <f t="shared" si="0"/>
        <v>Flachdach</v>
      </c>
      <c r="C38" s="39" t="s">
        <v>57</v>
      </c>
      <c r="D38" s="39">
        <v>100</v>
      </c>
      <c r="E38" s="39">
        <v>176000</v>
      </c>
      <c r="F38" s="39">
        <v>4.1000000000000002E-2</v>
      </c>
      <c r="G38" s="39">
        <v>50</v>
      </c>
      <c r="H38" s="39">
        <v>0</v>
      </c>
    </row>
    <row r="39" spans="1:14" x14ac:dyDescent="0.3">
      <c r="A39" s="4">
        <v>4</v>
      </c>
      <c r="B39" s="6" t="str">
        <f t="shared" si="0"/>
        <v>Wände g. Erdreich</v>
      </c>
      <c r="C39" s="39" t="s">
        <v>58</v>
      </c>
      <c r="D39" s="39">
        <v>35</v>
      </c>
      <c r="E39" s="39">
        <v>689500</v>
      </c>
      <c r="F39" s="39">
        <v>3.4000000000000002E-2</v>
      </c>
      <c r="G39" s="39">
        <v>50</v>
      </c>
      <c r="H39" s="39">
        <v>0</v>
      </c>
    </row>
    <row r="40" spans="1:14" x14ac:dyDescent="0.3">
      <c r="A40" s="4">
        <v>5</v>
      </c>
      <c r="B40" s="6" t="str">
        <f t="shared" si="0"/>
        <v>Wände g. Keller</v>
      </c>
      <c r="C40" s="39" t="s">
        <v>59</v>
      </c>
      <c r="D40" s="39">
        <v>25</v>
      </c>
      <c r="E40" s="39">
        <v>245000</v>
      </c>
      <c r="F40" s="39">
        <v>0.03</v>
      </c>
      <c r="G40" s="39">
        <v>50</v>
      </c>
      <c r="H40" s="39">
        <v>0</v>
      </c>
    </row>
    <row r="41" spans="1:14" x14ac:dyDescent="0.3">
      <c r="A41" s="4">
        <v>6</v>
      </c>
      <c r="B41" s="6" t="str">
        <f t="shared" si="0"/>
        <v>Decke g. Keller</v>
      </c>
      <c r="C41" s="39" t="s">
        <v>59</v>
      </c>
      <c r="D41" s="39">
        <v>25</v>
      </c>
      <c r="E41" s="39">
        <v>245000</v>
      </c>
      <c r="F41" s="39">
        <v>0.03</v>
      </c>
      <c r="G41" s="39">
        <v>50</v>
      </c>
      <c r="H41" s="39">
        <v>0</v>
      </c>
    </row>
    <row r="42" spans="1:14" x14ac:dyDescent="0.3">
      <c r="A42" s="4">
        <v>7</v>
      </c>
      <c r="B42" s="6" t="str">
        <f t="shared" si="0"/>
        <v>Boden g. Erde o. BH</v>
      </c>
      <c r="C42" s="39" t="s">
        <v>58</v>
      </c>
      <c r="D42" s="39">
        <v>40</v>
      </c>
      <c r="E42" s="39">
        <v>788000</v>
      </c>
      <c r="F42" s="39">
        <v>3.7999999999999999E-2</v>
      </c>
      <c r="G42" s="39">
        <v>75</v>
      </c>
      <c r="H42" s="39">
        <v>0</v>
      </c>
    </row>
    <row r="43" spans="1:14" x14ac:dyDescent="0.3">
      <c r="A43" s="4">
        <v>8</v>
      </c>
      <c r="B43" s="6" t="str">
        <f>$B$32</f>
        <v>Boden g. Erde m. BH</v>
      </c>
      <c r="C43" s="39" t="s">
        <v>58</v>
      </c>
      <c r="D43" s="39">
        <v>40</v>
      </c>
      <c r="E43" s="39">
        <v>788000</v>
      </c>
      <c r="F43" s="39">
        <v>3.7999999999999999E-2</v>
      </c>
      <c r="G43" s="39">
        <v>75</v>
      </c>
      <c r="H43" s="39">
        <v>0</v>
      </c>
      <c r="I43" s="1"/>
    </row>
    <row r="44" spans="1:14" x14ac:dyDescent="0.3">
      <c r="A44" s="1"/>
      <c r="B44" s="1"/>
      <c r="C44" s="1"/>
      <c r="D44" s="1"/>
      <c r="E44" s="1"/>
      <c r="F44" s="1"/>
      <c r="G44" s="1"/>
      <c r="H44" s="1"/>
      <c r="I44" s="1"/>
    </row>
    <row r="45" spans="1:14" x14ac:dyDescent="0.3">
      <c r="A45" s="3" t="s">
        <v>21</v>
      </c>
      <c r="B45" s="13"/>
      <c r="C45" s="13"/>
      <c r="D45" s="13"/>
      <c r="E45" s="13"/>
      <c r="F45" s="13"/>
      <c r="I45" s="1"/>
    </row>
    <row r="46" spans="1:14" x14ac:dyDescent="0.3">
      <c r="A46" s="12" t="s">
        <v>28</v>
      </c>
      <c r="B46" s="12" t="s">
        <v>25</v>
      </c>
      <c r="C46" s="12" t="s">
        <v>22</v>
      </c>
      <c r="D46" s="12" t="s">
        <v>23</v>
      </c>
      <c r="E46" s="12" t="s">
        <v>24</v>
      </c>
      <c r="F46" s="12" t="s">
        <v>38</v>
      </c>
      <c r="G46" s="28" t="s">
        <v>39</v>
      </c>
      <c r="H46" s="28" t="s">
        <v>40</v>
      </c>
      <c r="I46" s="62" t="s">
        <v>41</v>
      </c>
      <c r="J46" s="30" t="s">
        <v>44</v>
      </c>
      <c r="K46" s="30" t="s">
        <v>45</v>
      </c>
      <c r="L46" s="30" t="s">
        <v>46</v>
      </c>
      <c r="M46" s="30" t="s">
        <v>47</v>
      </c>
      <c r="N46" s="1"/>
    </row>
    <row r="47" spans="1:14" x14ac:dyDescent="0.3">
      <c r="A47" s="4">
        <v>1</v>
      </c>
      <c r="B47" s="39">
        <v>378</v>
      </c>
      <c r="C47" s="39">
        <v>8.7999999999999995E-2</v>
      </c>
      <c r="D47" s="39">
        <v>126</v>
      </c>
      <c r="E47" s="39">
        <v>1185408</v>
      </c>
      <c r="F47" s="6">
        <f>(IF(G47="","",ROUND((E47*G47),0)))</f>
        <v>1409448</v>
      </c>
      <c r="G47" s="1">
        <f>IF(B25="","",(J47*K47)*(L47*M47)^-1)</f>
        <v>1.18899830219345</v>
      </c>
      <c r="H47" s="1">
        <f>LN(1+$D$11/100)</f>
        <v>2.4692612590371414E-2</v>
      </c>
      <c r="I47" s="1">
        <f>LN(1+$D$13/100)</f>
        <v>0</v>
      </c>
      <c r="J47" s="1">
        <f>(1+H36*2.71828183^-((H47-I47)*G36))</f>
        <v>1</v>
      </c>
      <c r="K47" s="1">
        <f>(2.71828183^((H47-I47)*$D$9)-1)</f>
        <v>5.3722074328757863</v>
      </c>
      <c r="L47" s="1">
        <f>(2.71828183^((H47-I47)*($D$9-G36)))</f>
        <v>1.8539440989709344</v>
      </c>
      <c r="M47" s="1">
        <f>(2.71828183^((H47-I47)*G36)-1)</f>
        <v>2.4371087221091492</v>
      </c>
      <c r="N47" s="1"/>
    </row>
    <row r="48" spans="1:14" x14ac:dyDescent="0.3">
      <c r="A48" s="4">
        <v>2</v>
      </c>
      <c r="B48" s="39">
        <v>266</v>
      </c>
      <c r="C48" s="39">
        <v>0.127</v>
      </c>
      <c r="D48" s="39">
        <v>228</v>
      </c>
      <c r="E48" s="39">
        <v>2073854</v>
      </c>
      <c r="F48" s="6">
        <f t="shared" ref="F48:F54" si="1">(IF(G48="","",ROUND((E48*G48),0)))</f>
        <v>2465809</v>
      </c>
      <c r="G48" s="1">
        <f t="shared" ref="G48:G54" si="2">IF(B26="","",(J48*K48)*(L48*M48)^-1)</f>
        <v>1.18899830219345</v>
      </c>
      <c r="H48" s="1">
        <f t="shared" ref="H48:H54" si="3">LN(1+$D$11/100)</f>
        <v>2.4692612590371414E-2</v>
      </c>
      <c r="I48" s="1">
        <f t="shared" ref="I48:I54" si="4">LN(1+$D$13/100)</f>
        <v>0</v>
      </c>
      <c r="J48" s="1">
        <f t="shared" ref="J48:J54" si="5">(1+H37*2.71828183^-((H48-I48)*G37))</f>
        <v>1</v>
      </c>
      <c r="K48" s="1">
        <f t="shared" ref="K48:K54" si="6">(2.71828183^((H48-I48)*$D$9)-1)</f>
        <v>5.3722074328757863</v>
      </c>
      <c r="L48" s="1">
        <f t="shared" ref="L48:L54" si="7">(2.71828183^((H48-I48)*($D$9-G37)))</f>
        <v>1.8539440989709344</v>
      </c>
      <c r="M48" s="1">
        <f t="shared" ref="M48:M54" si="8">(2.71828183^((H48-I48)*G37)-1)</f>
        <v>2.4371087221091492</v>
      </c>
      <c r="N48" s="1"/>
    </row>
    <row r="49" spans="1:19" x14ac:dyDescent="0.3">
      <c r="A49" s="4">
        <v>3</v>
      </c>
      <c r="B49" s="39">
        <v>270</v>
      </c>
      <c r="C49" s="39">
        <v>0.14499999999999999</v>
      </c>
      <c r="D49" s="39">
        <v>93</v>
      </c>
      <c r="E49" s="39">
        <v>844800</v>
      </c>
      <c r="F49" s="6">
        <f t="shared" si="1"/>
        <v>1004466</v>
      </c>
      <c r="G49" s="1">
        <f t="shared" si="2"/>
        <v>1.18899830219345</v>
      </c>
      <c r="H49" s="1">
        <f t="shared" si="3"/>
        <v>2.4692612590371414E-2</v>
      </c>
      <c r="I49" s="1">
        <f t="shared" si="4"/>
        <v>0</v>
      </c>
      <c r="J49" s="1">
        <f t="shared" si="5"/>
        <v>1</v>
      </c>
      <c r="K49" s="1">
        <f t="shared" si="6"/>
        <v>5.3722074328757863</v>
      </c>
      <c r="L49" s="1">
        <f t="shared" si="7"/>
        <v>1.8539440989709344</v>
      </c>
      <c r="M49" s="1">
        <f t="shared" si="8"/>
        <v>2.4371087221091492</v>
      </c>
      <c r="N49" s="1"/>
    </row>
    <row r="50" spans="1:19" x14ac:dyDescent="0.3">
      <c r="A50" s="4">
        <v>4</v>
      </c>
      <c r="B50" s="39">
        <v>101</v>
      </c>
      <c r="C50" s="39">
        <v>0.30299999999999999</v>
      </c>
      <c r="D50" s="39">
        <v>58</v>
      </c>
      <c r="E50" s="39">
        <v>493280</v>
      </c>
      <c r="F50" s="6">
        <f t="shared" si="1"/>
        <v>586509</v>
      </c>
      <c r="G50" s="1">
        <f t="shared" si="2"/>
        <v>1.18899830219345</v>
      </c>
      <c r="H50" s="1">
        <f t="shared" si="3"/>
        <v>2.4692612590371414E-2</v>
      </c>
      <c r="I50" s="1">
        <f t="shared" si="4"/>
        <v>0</v>
      </c>
      <c r="J50" s="1">
        <f t="shared" si="5"/>
        <v>1</v>
      </c>
      <c r="K50" s="1">
        <f t="shared" si="6"/>
        <v>5.3722074328757863</v>
      </c>
      <c r="L50" s="1">
        <f t="shared" si="7"/>
        <v>1.8539440989709344</v>
      </c>
      <c r="M50" s="1">
        <f t="shared" si="8"/>
        <v>2.4371087221091492</v>
      </c>
      <c r="N50" s="1"/>
    </row>
    <row r="51" spans="1:19" x14ac:dyDescent="0.3">
      <c r="A51" s="4">
        <v>5</v>
      </c>
      <c r="B51" s="39">
        <v>175</v>
      </c>
      <c r="C51" s="39">
        <v>0.158</v>
      </c>
      <c r="D51" s="39">
        <v>18</v>
      </c>
      <c r="E51" s="39">
        <v>184601</v>
      </c>
      <c r="F51" s="6">
        <f t="shared" si="1"/>
        <v>219490</v>
      </c>
      <c r="G51" s="1">
        <f t="shared" si="2"/>
        <v>1.18899830219345</v>
      </c>
      <c r="H51" s="1">
        <f t="shared" si="3"/>
        <v>2.4692612590371414E-2</v>
      </c>
      <c r="I51" s="1">
        <f t="shared" si="4"/>
        <v>0</v>
      </c>
      <c r="J51" s="1">
        <f t="shared" si="5"/>
        <v>1</v>
      </c>
      <c r="K51" s="1">
        <f t="shared" si="6"/>
        <v>5.3722074328757863</v>
      </c>
      <c r="L51" s="1">
        <f t="shared" si="7"/>
        <v>1.8539440989709344</v>
      </c>
      <c r="M51" s="1">
        <f t="shared" si="8"/>
        <v>2.4371087221091492</v>
      </c>
      <c r="N51" s="1"/>
    </row>
    <row r="52" spans="1:19" x14ac:dyDescent="0.3">
      <c r="A52" s="4">
        <v>6</v>
      </c>
      <c r="B52" s="39">
        <v>174</v>
      </c>
      <c r="C52" s="39">
        <v>0.159</v>
      </c>
      <c r="D52" s="39">
        <v>92</v>
      </c>
      <c r="E52" s="39">
        <v>911808</v>
      </c>
      <c r="F52" s="6">
        <f t="shared" si="1"/>
        <v>1084138</v>
      </c>
      <c r="G52" s="1">
        <f t="shared" si="2"/>
        <v>1.18899830219345</v>
      </c>
      <c r="H52" s="1">
        <f t="shared" si="3"/>
        <v>2.4692612590371414E-2</v>
      </c>
      <c r="I52" s="1">
        <f t="shared" si="4"/>
        <v>0</v>
      </c>
      <c r="J52" s="1">
        <f t="shared" si="5"/>
        <v>1</v>
      </c>
      <c r="K52" s="1">
        <f t="shared" si="6"/>
        <v>5.3722074328757863</v>
      </c>
      <c r="L52" s="1">
        <f t="shared" si="7"/>
        <v>1.8539440989709344</v>
      </c>
      <c r="M52" s="1">
        <f t="shared" si="8"/>
        <v>2.4371087221091492</v>
      </c>
      <c r="N52" s="1"/>
    </row>
    <row r="53" spans="1:19" x14ac:dyDescent="0.3">
      <c r="A53" s="4">
        <v>7</v>
      </c>
      <c r="B53" s="39">
        <v>90</v>
      </c>
      <c r="C53" s="39">
        <v>0.37</v>
      </c>
      <c r="D53" s="39">
        <v>185</v>
      </c>
      <c r="E53" s="39">
        <v>1970000</v>
      </c>
      <c r="F53" s="6">
        <f t="shared" si="1"/>
        <v>1970000</v>
      </c>
      <c r="G53" s="1">
        <f t="shared" si="2"/>
        <v>1</v>
      </c>
      <c r="H53" s="1">
        <f t="shared" si="3"/>
        <v>2.4692612590371414E-2</v>
      </c>
      <c r="I53" s="1">
        <f t="shared" si="4"/>
        <v>0</v>
      </c>
      <c r="J53" s="1">
        <f t="shared" si="5"/>
        <v>1</v>
      </c>
      <c r="K53" s="1">
        <f t="shared" si="6"/>
        <v>5.3722074328757863</v>
      </c>
      <c r="L53" s="1">
        <f t="shared" si="7"/>
        <v>1</v>
      </c>
      <c r="M53" s="1">
        <f t="shared" si="8"/>
        <v>5.3722074328757863</v>
      </c>
      <c r="N53" s="1"/>
    </row>
    <row r="54" spans="1:19" x14ac:dyDescent="0.3">
      <c r="A54" s="4">
        <v>8</v>
      </c>
      <c r="B54" s="39">
        <v>132</v>
      </c>
      <c r="C54" s="39">
        <v>0.26300000000000001</v>
      </c>
      <c r="D54" s="39">
        <v>202</v>
      </c>
      <c r="E54" s="39">
        <v>2224787</v>
      </c>
      <c r="F54" s="6">
        <f t="shared" si="1"/>
        <v>2224787</v>
      </c>
      <c r="G54" s="1">
        <f t="shared" si="2"/>
        <v>1</v>
      </c>
      <c r="H54" s="1">
        <f t="shared" si="3"/>
        <v>2.4692612590371414E-2</v>
      </c>
      <c r="I54" s="1">
        <f t="shared" si="4"/>
        <v>0</v>
      </c>
      <c r="J54" s="1">
        <f t="shared" si="5"/>
        <v>1</v>
      </c>
      <c r="K54" s="1">
        <f t="shared" si="6"/>
        <v>5.3722074328757863</v>
      </c>
      <c r="L54" s="1">
        <f t="shared" si="7"/>
        <v>1</v>
      </c>
      <c r="M54" s="1">
        <f t="shared" si="8"/>
        <v>5.3722074328757863</v>
      </c>
      <c r="N54" s="1"/>
    </row>
    <row r="55" spans="1:19" x14ac:dyDescent="0.3">
      <c r="C55" s="2"/>
      <c r="D55" s="2"/>
      <c r="E55" s="2"/>
      <c r="F55" s="2"/>
      <c r="G55" s="1"/>
      <c r="H55" s="1"/>
      <c r="J55" s="1"/>
      <c r="K55" s="1"/>
      <c r="L55" s="1"/>
      <c r="M55" s="1"/>
      <c r="N55" s="1"/>
    </row>
    <row r="56" spans="1:19" x14ac:dyDescent="0.3">
      <c r="C56" s="7" t="s">
        <v>29</v>
      </c>
      <c r="D56" s="6">
        <f>SUM(D47:D54)</f>
        <v>1002</v>
      </c>
      <c r="E56" s="7"/>
      <c r="F56" s="2"/>
      <c r="J56" s="1"/>
      <c r="K56" s="1"/>
      <c r="L56" s="1"/>
      <c r="M56" s="1"/>
      <c r="N56" s="1"/>
    </row>
    <row r="57" spans="1:19" x14ac:dyDescent="0.3">
      <c r="C57" s="7"/>
      <c r="D57" s="7"/>
      <c r="E57" s="7"/>
      <c r="F57" s="2"/>
      <c r="J57" s="1"/>
      <c r="K57" s="1"/>
      <c r="L57" s="1"/>
      <c r="M57" s="1"/>
      <c r="N57" s="1"/>
    </row>
    <row r="58" spans="1:19" x14ac:dyDescent="0.3">
      <c r="C58" s="4" t="s">
        <v>64</v>
      </c>
      <c r="D58" s="7"/>
      <c r="E58" s="7"/>
      <c r="F58" s="6">
        <f>SUM(F47:F54)</f>
        <v>10964647</v>
      </c>
      <c r="J58" s="1"/>
      <c r="K58" s="1"/>
      <c r="L58" s="1"/>
      <c r="M58" s="1"/>
      <c r="N58" s="1"/>
    </row>
    <row r="59" spans="1:19" x14ac:dyDescent="0.3">
      <c r="C59" s="7"/>
      <c r="D59" s="7"/>
      <c r="E59" s="7"/>
      <c r="F59" s="2"/>
      <c r="J59" s="1"/>
      <c r="K59" s="1"/>
      <c r="L59" s="1"/>
      <c r="M59" s="1"/>
      <c r="N59" s="1"/>
    </row>
    <row r="60" spans="1:19" x14ac:dyDescent="0.3">
      <c r="C60" s="7" t="s">
        <v>27</v>
      </c>
      <c r="D60" s="6">
        <f>$D$15</f>
        <v>0.14699999999999999</v>
      </c>
      <c r="E60" s="7"/>
      <c r="F60" s="2"/>
      <c r="J60" s="1"/>
      <c r="K60" s="1"/>
      <c r="L60" s="1"/>
      <c r="M60" s="1"/>
      <c r="N60" s="1"/>
    </row>
    <row r="61" spans="1:19" x14ac:dyDescent="0.3">
      <c r="C61" s="7"/>
      <c r="D61" s="7"/>
      <c r="E61" s="7"/>
      <c r="F61" s="2"/>
      <c r="J61" s="1"/>
      <c r="K61" s="1"/>
      <c r="L61" s="1"/>
      <c r="M61" s="1"/>
      <c r="N61" s="1"/>
    </row>
    <row r="62" spans="1:19" x14ac:dyDescent="0.3">
      <c r="A62" s="63"/>
      <c r="B62" s="63"/>
      <c r="C62" s="64"/>
      <c r="D62" s="64"/>
      <c r="E62" s="64"/>
      <c r="F62" s="65"/>
      <c r="G62" s="63"/>
      <c r="H62" s="63"/>
      <c r="I62" s="63"/>
      <c r="J62" s="66"/>
      <c r="K62" s="66"/>
      <c r="L62" s="66"/>
      <c r="M62" s="66"/>
      <c r="N62" s="66"/>
      <c r="O62" s="63"/>
      <c r="P62" s="63"/>
      <c r="Q62" s="63"/>
      <c r="R62" s="63"/>
      <c r="S62" s="63"/>
    </row>
    <row r="63" spans="1:19" x14ac:dyDescent="0.3">
      <c r="A63" s="63"/>
      <c r="B63" s="63"/>
      <c r="C63" s="63"/>
      <c r="D63" s="63"/>
      <c r="E63" s="63"/>
      <c r="F63" s="63"/>
      <c r="G63" s="63"/>
      <c r="H63" s="63"/>
      <c r="I63" s="63"/>
      <c r="J63" s="66"/>
      <c r="K63" s="66"/>
      <c r="L63" s="66"/>
      <c r="M63" s="66"/>
      <c r="N63" s="66"/>
      <c r="O63" s="63"/>
      <c r="P63" s="63"/>
      <c r="Q63" s="63"/>
      <c r="R63" s="63"/>
      <c r="S63" s="63"/>
    </row>
    <row r="64" spans="1:19" x14ac:dyDescent="0.3">
      <c r="A64" s="63"/>
      <c r="B64" s="63"/>
      <c r="C64" s="63"/>
      <c r="D64" s="63"/>
      <c r="E64" s="63"/>
      <c r="F64" s="63"/>
      <c r="G64" s="63"/>
      <c r="H64" s="63"/>
      <c r="I64" s="63"/>
      <c r="J64" s="66"/>
      <c r="K64" s="66"/>
      <c r="L64" s="66"/>
      <c r="M64" s="66"/>
      <c r="N64" s="66"/>
      <c r="O64" s="63"/>
      <c r="P64" s="63"/>
      <c r="Q64" s="63"/>
      <c r="R64" s="63"/>
      <c r="S64" s="63"/>
    </row>
    <row r="65" spans="1:19" x14ac:dyDescent="0.3">
      <c r="A65" s="63"/>
      <c r="B65" s="63"/>
      <c r="C65" s="63"/>
      <c r="D65" s="63"/>
      <c r="E65" s="63"/>
      <c r="F65" s="63"/>
      <c r="G65" s="63"/>
      <c r="H65" s="63"/>
      <c r="I65" s="63"/>
      <c r="J65" s="66"/>
      <c r="K65" s="66"/>
      <c r="L65" s="66"/>
      <c r="M65" s="66"/>
      <c r="N65" s="66"/>
      <c r="O65" s="63"/>
      <c r="P65" s="63"/>
      <c r="Q65" s="63"/>
      <c r="R65" s="63"/>
      <c r="S65" s="63"/>
    </row>
    <row r="66" spans="1:19" x14ac:dyDescent="0.3">
      <c r="A66" s="63"/>
      <c r="B66" s="67" t="s">
        <v>78</v>
      </c>
      <c r="C66" s="67" t="s">
        <v>79</v>
      </c>
      <c r="D66" s="68" t="s">
        <v>65</v>
      </c>
      <c r="E66" s="67" t="s">
        <v>61</v>
      </c>
      <c r="F66" s="67" t="s">
        <v>50</v>
      </c>
      <c r="G66" s="63"/>
      <c r="H66" s="63"/>
      <c r="I66" s="63"/>
      <c r="J66" s="66"/>
      <c r="K66" s="66"/>
      <c r="L66" s="66"/>
      <c r="M66" s="66"/>
      <c r="N66" s="66"/>
      <c r="O66" s="63"/>
      <c r="P66" s="63"/>
      <c r="Q66" s="63"/>
      <c r="R66" s="63"/>
      <c r="S66" s="63"/>
    </row>
    <row r="67" spans="1:19" x14ac:dyDescent="0.3">
      <c r="A67" s="67" t="s">
        <v>48</v>
      </c>
      <c r="B67" s="67">
        <f>IF(F47="","",($D$19*F47))</f>
        <v>1296692.1600000001</v>
      </c>
      <c r="C67" s="67">
        <f>IF(B67="",0,(((($D$19*0.001*B47)/F36)+D25^-1)^-1)*C25*F25- D47)</f>
        <v>10.02966902246169</v>
      </c>
      <c r="D67" s="67"/>
      <c r="E67" s="67">
        <f>IF(B47="",0,(($D$19*F47)-F47))</f>
        <v>-112755.83999999985</v>
      </c>
      <c r="F67" s="68"/>
      <c r="G67" s="63"/>
      <c r="H67" s="63"/>
      <c r="I67" s="63"/>
      <c r="J67" s="66"/>
      <c r="K67" s="66"/>
      <c r="L67" s="66"/>
      <c r="M67" s="66"/>
      <c r="N67" s="66"/>
      <c r="O67" s="63"/>
      <c r="P67" s="63"/>
      <c r="Q67" s="63"/>
      <c r="R67" s="63"/>
      <c r="S67" s="63"/>
    </row>
    <row r="68" spans="1:19" x14ac:dyDescent="0.3">
      <c r="A68" s="67" t="s">
        <v>49</v>
      </c>
      <c r="B68" s="68" t="s">
        <v>80</v>
      </c>
      <c r="C68" s="67">
        <f>IF(B48="",0,((((-C67+D48)/(C26*F26))^-1-D26^-1)*F37*1000))</f>
        <v>279.58218650966091</v>
      </c>
      <c r="D68" s="67">
        <f>IF(C68=0,"",C68)</f>
        <v>279.58218650966091</v>
      </c>
      <c r="E68" s="67">
        <f>IF(B48="",0,(C68/B48)*F48- F48)</f>
        <v>125906.30727518955</v>
      </c>
      <c r="F68" s="67">
        <f>IF(E68=0,0,(E67+E68))</f>
        <v>13150.467275189701</v>
      </c>
      <c r="G68" s="67" t="str">
        <f t="shared" ref="G68:G131" si="9">IF(F68&lt;0,F68,"")</f>
        <v/>
      </c>
      <c r="H68" s="63"/>
      <c r="I68" s="63"/>
      <c r="J68" s="66"/>
      <c r="K68" s="66"/>
      <c r="L68" s="66"/>
      <c r="M68" s="66"/>
      <c r="N68" s="66"/>
      <c r="O68" s="63"/>
      <c r="P68" s="63"/>
      <c r="Q68" s="63"/>
      <c r="R68" s="63"/>
      <c r="S68" s="63"/>
    </row>
    <row r="69" spans="1:19" x14ac:dyDescent="0.3">
      <c r="A69" s="67"/>
      <c r="B69" s="63"/>
      <c r="C69" s="63"/>
      <c r="D69" s="67"/>
      <c r="E69" s="63"/>
      <c r="F69" s="67"/>
      <c r="G69" s="63" t="str">
        <f t="shared" si="9"/>
        <v/>
      </c>
      <c r="H69" s="63"/>
      <c r="I69" s="63"/>
      <c r="J69" s="66"/>
      <c r="K69" s="66"/>
      <c r="L69" s="66"/>
      <c r="M69" s="66"/>
      <c r="N69" s="66"/>
      <c r="O69" s="63"/>
      <c r="P69" s="63"/>
      <c r="Q69" s="63"/>
      <c r="R69" s="63"/>
      <c r="S69" s="63"/>
    </row>
    <row r="70" spans="1:19" x14ac:dyDescent="0.3">
      <c r="A70" s="67">
        <v>1</v>
      </c>
      <c r="B70" s="67">
        <f>$B$67</f>
        <v>1296692.1600000001</v>
      </c>
      <c r="C70" s="67">
        <f>$C$67</f>
        <v>10.02966902246169</v>
      </c>
      <c r="D70" s="67"/>
      <c r="E70" s="67">
        <f>$E$67</f>
        <v>-112755.83999999985</v>
      </c>
      <c r="F70" s="67"/>
      <c r="G70" s="63" t="str">
        <f t="shared" si="9"/>
        <v/>
      </c>
      <c r="H70" s="63"/>
      <c r="I70" s="63"/>
      <c r="J70" s="66"/>
      <c r="K70" s="66"/>
      <c r="L70" s="66"/>
      <c r="M70" s="66"/>
      <c r="N70" s="66"/>
      <c r="O70" s="63"/>
      <c r="P70" s="63"/>
      <c r="Q70" s="63"/>
      <c r="R70" s="63"/>
      <c r="S70" s="63"/>
    </row>
    <row r="71" spans="1:19" x14ac:dyDescent="0.3">
      <c r="A71" s="67">
        <v>3</v>
      </c>
      <c r="B71" s="67"/>
      <c r="C71" s="67">
        <f>IF(B49="",0,((((-C70+D49)/(C27*F27))^-1-D27^-1)*F38*1000))</f>
        <v>303.64224254900125</v>
      </c>
      <c r="D71" s="67">
        <f>IF(C71=0,"",C71)</f>
        <v>303.64224254900125</v>
      </c>
      <c r="E71" s="67">
        <f>IF(B49="",0,(C71/B49)*F49- F49)</f>
        <v>125157.36594157433</v>
      </c>
      <c r="F71" s="67">
        <f>IF(E71=0,0,(E70+E71))</f>
        <v>12401.52594157448</v>
      </c>
      <c r="G71" s="67" t="str">
        <f t="shared" si="9"/>
        <v/>
      </c>
      <c r="H71" s="63"/>
      <c r="I71" s="63"/>
      <c r="J71" s="66"/>
      <c r="K71" s="66"/>
      <c r="L71" s="66"/>
      <c r="M71" s="66"/>
      <c r="N71" s="66"/>
      <c r="O71" s="63"/>
      <c r="P71" s="63"/>
      <c r="Q71" s="63"/>
      <c r="R71" s="63"/>
      <c r="S71" s="63"/>
    </row>
    <row r="72" spans="1:19" x14ac:dyDescent="0.3">
      <c r="A72" s="67"/>
      <c r="B72" s="67"/>
      <c r="C72" s="67"/>
      <c r="D72" s="67"/>
      <c r="E72" s="63"/>
      <c r="F72" s="67"/>
      <c r="G72" s="67" t="str">
        <f t="shared" si="9"/>
        <v/>
      </c>
      <c r="H72" s="63"/>
      <c r="I72" s="63"/>
      <c r="J72" s="63"/>
      <c r="K72" s="63"/>
      <c r="L72" s="63"/>
      <c r="M72" s="63"/>
      <c r="N72" s="63"/>
      <c r="O72" s="63"/>
      <c r="P72" s="63"/>
      <c r="Q72" s="63"/>
      <c r="R72" s="63"/>
      <c r="S72" s="63"/>
    </row>
    <row r="73" spans="1:19" x14ac:dyDescent="0.3">
      <c r="A73" s="67">
        <v>1</v>
      </c>
      <c r="B73" s="67">
        <f>$B$67</f>
        <v>1296692.1600000001</v>
      </c>
      <c r="C73" s="67">
        <f>$C$67</f>
        <v>10.02966902246169</v>
      </c>
      <c r="D73" s="67"/>
      <c r="E73" s="67">
        <f>$E$67</f>
        <v>-112755.83999999985</v>
      </c>
      <c r="F73" s="67"/>
      <c r="G73" s="67" t="str">
        <f t="shared" si="9"/>
        <v/>
      </c>
      <c r="H73" s="63"/>
      <c r="I73" s="63"/>
      <c r="J73" s="63"/>
      <c r="K73" s="63"/>
      <c r="L73" s="63"/>
      <c r="M73" s="63"/>
      <c r="N73" s="63"/>
      <c r="O73" s="63"/>
      <c r="P73" s="63"/>
      <c r="Q73" s="63"/>
      <c r="R73" s="63"/>
      <c r="S73" s="63"/>
    </row>
    <row r="74" spans="1:19" x14ac:dyDescent="0.3">
      <c r="A74" s="67">
        <v>4</v>
      </c>
      <c r="B74" s="67"/>
      <c r="C74" s="67">
        <f>IF(B50="",0,((((-C73+D50)/(C28*F28))^-1-D28^-1)*F39*1000))</f>
        <v>124.47761708374463</v>
      </c>
      <c r="D74" s="67">
        <f>IF(C74=0,"",C74)</f>
        <v>124.47761708374463</v>
      </c>
      <c r="E74" s="67">
        <f>IF(B50="",0,(C74/B50)*F50- F50)</f>
        <v>136334.98730861361</v>
      </c>
      <c r="F74" s="67">
        <f>IF(E74=0,0,(E73+E74))</f>
        <v>23579.147308613756</v>
      </c>
      <c r="G74" s="67" t="str">
        <f t="shared" si="9"/>
        <v/>
      </c>
      <c r="H74" s="63"/>
      <c r="I74" s="63"/>
      <c r="J74" s="63"/>
      <c r="K74" s="63"/>
      <c r="L74" s="63"/>
      <c r="M74" s="63"/>
      <c r="N74" s="63"/>
      <c r="O74" s="63"/>
      <c r="P74" s="63"/>
      <c r="Q74" s="63"/>
      <c r="R74" s="63"/>
      <c r="S74" s="63"/>
    </row>
    <row r="75" spans="1:19" x14ac:dyDescent="0.3">
      <c r="A75" s="67"/>
      <c r="B75" s="67"/>
      <c r="C75" s="68"/>
      <c r="D75" s="67"/>
      <c r="E75" s="67"/>
      <c r="F75" s="67"/>
      <c r="G75" s="67" t="str">
        <f t="shared" si="9"/>
        <v/>
      </c>
      <c r="H75" s="63"/>
      <c r="I75" s="63"/>
      <c r="J75" s="63"/>
      <c r="K75" s="63"/>
      <c r="L75" s="63"/>
      <c r="M75" s="63"/>
      <c r="N75" s="63"/>
      <c r="O75" s="63"/>
      <c r="P75" s="63"/>
      <c r="Q75" s="63"/>
      <c r="R75" s="63"/>
      <c r="S75" s="63"/>
    </row>
    <row r="76" spans="1:19" x14ac:dyDescent="0.3">
      <c r="A76" s="67">
        <v>1</v>
      </c>
      <c r="B76" s="67">
        <f>$B$67</f>
        <v>1296692.1600000001</v>
      </c>
      <c r="C76" s="67">
        <f>$C$67</f>
        <v>10.02966902246169</v>
      </c>
      <c r="D76" s="67"/>
      <c r="E76" s="67">
        <f>$E$67</f>
        <v>-112755.83999999985</v>
      </c>
      <c r="F76" s="67"/>
      <c r="G76" s="67" t="str">
        <f t="shared" si="9"/>
        <v/>
      </c>
      <c r="H76" s="63"/>
      <c r="I76" s="63"/>
      <c r="J76" s="63"/>
      <c r="K76" s="63"/>
      <c r="L76" s="63"/>
      <c r="M76" s="63"/>
      <c r="N76" s="63"/>
      <c r="O76" s="63"/>
      <c r="P76" s="63"/>
      <c r="Q76" s="63"/>
      <c r="R76" s="63"/>
      <c r="S76" s="63"/>
    </row>
    <row r="77" spans="1:19" x14ac:dyDescent="0.3">
      <c r="A77" s="67">
        <v>5</v>
      </c>
      <c r="B77" s="67"/>
      <c r="C77" s="67">
        <f>IF(B51="",0,((((-C76+D51)/(C29*F29))^-1-D29^-1)*F40*1000))</f>
        <v>423.27453381795192</v>
      </c>
      <c r="D77" s="67">
        <f>IF(C77=0,"",C77)</f>
        <v>423.27453381795192</v>
      </c>
      <c r="E77" s="67">
        <f>IF(B51="",0,(C77/B51)*F51- F51)</f>
        <v>311393.01387258444</v>
      </c>
      <c r="F77" s="67">
        <f>IF(E77=0,0,(E76+E77))</f>
        <v>198637.17387258459</v>
      </c>
      <c r="G77" s="67" t="str">
        <f t="shared" si="9"/>
        <v/>
      </c>
      <c r="H77" s="63"/>
      <c r="I77" s="63"/>
      <c r="J77" s="63"/>
      <c r="K77" s="63"/>
      <c r="L77" s="63"/>
      <c r="M77" s="63"/>
      <c r="N77" s="63"/>
      <c r="O77" s="63"/>
      <c r="P77" s="63"/>
      <c r="Q77" s="63"/>
      <c r="R77" s="63"/>
      <c r="S77" s="63"/>
    </row>
    <row r="78" spans="1:19" x14ac:dyDescent="0.3">
      <c r="A78" s="67"/>
      <c r="B78" s="67"/>
      <c r="C78" s="68"/>
      <c r="D78" s="67"/>
      <c r="E78" s="67"/>
      <c r="F78" s="67"/>
      <c r="G78" s="67" t="str">
        <f t="shared" si="9"/>
        <v/>
      </c>
      <c r="H78" s="63"/>
      <c r="I78" s="63"/>
      <c r="J78" s="63"/>
      <c r="K78" s="63"/>
      <c r="L78" s="63"/>
      <c r="M78" s="63"/>
      <c r="N78" s="63"/>
      <c r="O78" s="63"/>
      <c r="P78" s="63"/>
      <c r="Q78" s="63"/>
      <c r="R78" s="63"/>
      <c r="S78" s="63"/>
    </row>
    <row r="79" spans="1:19" x14ac:dyDescent="0.3">
      <c r="A79" s="67">
        <v>1</v>
      </c>
      <c r="B79" s="67">
        <f>$B$67</f>
        <v>1296692.1600000001</v>
      </c>
      <c r="C79" s="67">
        <f>$C$67</f>
        <v>10.02966902246169</v>
      </c>
      <c r="D79" s="67"/>
      <c r="E79" s="67">
        <f>$E$67</f>
        <v>-112755.83999999985</v>
      </c>
      <c r="F79" s="67"/>
      <c r="G79" s="67" t="str">
        <f t="shared" si="9"/>
        <v/>
      </c>
      <c r="H79" s="63"/>
      <c r="I79" s="63"/>
      <c r="J79" s="63"/>
      <c r="K79" s="63"/>
      <c r="L79" s="63"/>
      <c r="M79" s="63"/>
      <c r="N79" s="63"/>
      <c r="O79" s="63"/>
      <c r="P79" s="63"/>
      <c r="Q79" s="63"/>
      <c r="R79" s="63"/>
      <c r="S79" s="63"/>
    </row>
    <row r="80" spans="1:19" x14ac:dyDescent="0.3">
      <c r="A80" s="67">
        <v>6</v>
      </c>
      <c r="B80" s="67"/>
      <c r="C80" s="67">
        <f>IF(B52="",0,((((-C79+D52)/(C30*F30))^-1-D30^-1)*F41*1000))</f>
        <v>196.35696041958687</v>
      </c>
      <c r="D80" s="67">
        <f>IF(C80=0,"",C80)</f>
        <v>196.35696041958687</v>
      </c>
      <c r="E80" s="67">
        <f>IF(B52="",0,(C80/B52)*F52- F52)</f>
        <v>139299.02503086254</v>
      </c>
      <c r="F80" s="67">
        <f>IF(E80=0,0,(E79+E80))</f>
        <v>26543.185030862689</v>
      </c>
      <c r="G80" s="67" t="str">
        <f t="shared" si="9"/>
        <v/>
      </c>
      <c r="H80" s="63"/>
      <c r="I80" s="63"/>
      <c r="J80" s="63"/>
      <c r="K80" s="63"/>
      <c r="L80" s="63"/>
      <c r="M80" s="63"/>
      <c r="N80" s="63"/>
      <c r="O80" s="63"/>
      <c r="P80" s="63"/>
      <c r="Q80" s="63"/>
      <c r="R80" s="63"/>
      <c r="S80" s="63"/>
    </row>
    <row r="81" spans="1:19" x14ac:dyDescent="0.3">
      <c r="A81" s="67"/>
      <c r="B81" s="67"/>
      <c r="C81" s="67"/>
      <c r="D81" s="67"/>
      <c r="E81" s="67"/>
      <c r="F81" s="67"/>
      <c r="G81" s="67" t="str">
        <f t="shared" si="9"/>
        <v/>
      </c>
      <c r="H81" s="63"/>
      <c r="I81" s="63"/>
      <c r="J81" s="63"/>
      <c r="K81" s="63"/>
      <c r="L81" s="63"/>
      <c r="M81" s="63"/>
      <c r="N81" s="63"/>
      <c r="O81" s="63"/>
      <c r="P81" s="63"/>
      <c r="Q81" s="63"/>
      <c r="R81" s="63"/>
      <c r="S81" s="63"/>
    </row>
    <row r="82" spans="1:19" x14ac:dyDescent="0.3">
      <c r="A82" s="67">
        <v>1</v>
      </c>
      <c r="B82" s="67">
        <f>$B$67</f>
        <v>1296692.1600000001</v>
      </c>
      <c r="C82" s="67">
        <f>$C$67</f>
        <v>10.02966902246169</v>
      </c>
      <c r="D82" s="67"/>
      <c r="E82" s="67">
        <f>$E$67</f>
        <v>-112755.83999999985</v>
      </c>
      <c r="F82" s="67"/>
      <c r="G82" s="67" t="str">
        <f t="shared" si="9"/>
        <v/>
      </c>
      <c r="H82" s="63"/>
      <c r="I82" s="63"/>
      <c r="J82" s="63"/>
      <c r="K82" s="63"/>
      <c r="L82" s="63"/>
      <c r="M82" s="63"/>
      <c r="N82" s="63"/>
      <c r="O82" s="63"/>
      <c r="P82" s="63"/>
      <c r="Q82" s="63"/>
      <c r="R82" s="63"/>
      <c r="S82" s="63"/>
    </row>
    <row r="83" spans="1:19" x14ac:dyDescent="0.3">
      <c r="A83" s="67">
        <v>7</v>
      </c>
      <c r="B83" s="67"/>
      <c r="C83" s="67">
        <f>IF(B53="",0,((((-C82+D53)/(C31*F31))^-1-D31^-1)*F42*1000))</f>
        <v>95.923171929678631</v>
      </c>
      <c r="D83" s="67">
        <f>IF(C83=0,"",C83)</f>
        <v>95.923171929678631</v>
      </c>
      <c r="E83" s="67">
        <f>IF(B53="",0,(C83/B53)*F53- F53)</f>
        <v>129651.65223852126</v>
      </c>
      <c r="F83" s="67">
        <f>IF(E83=0,0,(E82+E83))</f>
        <v>16895.812238521408</v>
      </c>
      <c r="G83" s="67" t="str">
        <f t="shared" si="9"/>
        <v/>
      </c>
      <c r="H83" s="63"/>
      <c r="I83" s="63"/>
      <c r="J83" s="63"/>
      <c r="K83" s="63"/>
      <c r="L83" s="63"/>
      <c r="M83" s="63"/>
      <c r="N83" s="63"/>
      <c r="O83" s="63"/>
      <c r="P83" s="63"/>
      <c r="Q83" s="63"/>
      <c r="R83" s="63"/>
      <c r="S83" s="63"/>
    </row>
    <row r="84" spans="1:19" x14ac:dyDescent="0.3">
      <c r="A84" s="67"/>
      <c r="B84" s="67"/>
      <c r="C84" s="67"/>
      <c r="D84" s="67"/>
      <c r="E84" s="67"/>
      <c r="F84" s="67"/>
      <c r="G84" s="67" t="str">
        <f t="shared" si="9"/>
        <v/>
      </c>
      <c r="H84" s="63"/>
      <c r="I84" s="63"/>
      <c r="J84" s="63"/>
      <c r="K84" s="63"/>
      <c r="L84" s="63"/>
      <c r="M84" s="63"/>
      <c r="N84" s="63"/>
      <c r="O84" s="63"/>
      <c r="P84" s="63"/>
      <c r="Q84" s="63"/>
      <c r="R84" s="63"/>
      <c r="S84" s="63"/>
    </row>
    <row r="85" spans="1:19" x14ac:dyDescent="0.3">
      <c r="A85" s="67">
        <v>1</v>
      </c>
      <c r="B85" s="67">
        <f>$B$67</f>
        <v>1296692.1600000001</v>
      </c>
      <c r="C85" s="67">
        <f>$C$67</f>
        <v>10.02966902246169</v>
      </c>
      <c r="D85" s="67"/>
      <c r="E85" s="67">
        <f>$E$67</f>
        <v>-112755.83999999985</v>
      </c>
      <c r="F85" s="67"/>
      <c r="G85" s="67" t="str">
        <f t="shared" si="9"/>
        <v/>
      </c>
      <c r="H85" s="63"/>
      <c r="I85" s="63"/>
      <c r="J85" s="63"/>
      <c r="K85" s="63"/>
      <c r="L85" s="63"/>
      <c r="M85" s="63"/>
      <c r="N85" s="63"/>
      <c r="O85" s="63"/>
      <c r="P85" s="63"/>
      <c r="Q85" s="63"/>
      <c r="R85" s="63"/>
      <c r="S85" s="63"/>
    </row>
    <row r="86" spans="1:19" x14ac:dyDescent="0.3">
      <c r="A86" s="67">
        <v>8</v>
      </c>
      <c r="B86" s="63"/>
      <c r="C86" s="67">
        <f>IF(B54="",0,((((-C85+D54)/(C32*F32))^-1-D32^-1)*F43*1000))</f>
        <v>139.75271944890761</v>
      </c>
      <c r="D86" s="67">
        <f>IF(C86=0,"",C86)</f>
        <v>139.75271944890761</v>
      </c>
      <c r="E86" s="67">
        <f>IF(B54="",0,(C86/B54)*F54- F54)</f>
        <v>130667.79882255197</v>
      </c>
      <c r="F86" s="67">
        <f>IF(E86=0,0,(E85+E86))</f>
        <v>17911.958822552115</v>
      </c>
      <c r="G86" s="67" t="str">
        <f t="shared" si="9"/>
        <v/>
      </c>
      <c r="H86" s="63"/>
      <c r="I86" s="63"/>
      <c r="J86" s="63"/>
      <c r="K86" s="63"/>
      <c r="L86" s="63"/>
      <c r="M86" s="63"/>
      <c r="N86" s="63"/>
      <c r="O86" s="63"/>
      <c r="P86" s="63"/>
      <c r="Q86" s="63"/>
      <c r="R86" s="63"/>
      <c r="S86" s="63"/>
    </row>
    <row r="87" spans="1:19" x14ac:dyDescent="0.3">
      <c r="A87" s="67"/>
      <c r="B87" s="63"/>
      <c r="C87" s="67"/>
      <c r="D87" s="67"/>
      <c r="E87" s="63"/>
      <c r="F87" s="63"/>
      <c r="G87" s="67" t="str">
        <f t="shared" si="9"/>
        <v/>
      </c>
      <c r="H87" s="63"/>
      <c r="I87" s="63"/>
      <c r="J87" s="63"/>
      <c r="K87" s="63"/>
      <c r="L87" s="63"/>
      <c r="M87" s="63"/>
      <c r="N87" s="63"/>
      <c r="O87" s="63"/>
      <c r="P87" s="63"/>
      <c r="Q87" s="63"/>
      <c r="R87" s="63"/>
      <c r="S87" s="63"/>
    </row>
    <row r="88" spans="1:19" x14ac:dyDescent="0.3">
      <c r="A88" s="67">
        <v>2</v>
      </c>
      <c r="B88" s="67">
        <f>IF(F48="","",($D$19*F48))</f>
        <v>2268544.2800000003</v>
      </c>
      <c r="C88" s="67">
        <f>IF(B88="",0,(((($D$19*0.001*B48)/F37)+D26^-1)^-1)*C26*F26- D48)</f>
        <v>17.383605942728622</v>
      </c>
      <c r="D88" s="67"/>
      <c r="E88" s="67">
        <f>IF(B48="",0,(($D$19*F48)-F48))</f>
        <v>-197264.71999999974</v>
      </c>
      <c r="F88" s="67"/>
      <c r="G88" s="67" t="str">
        <f t="shared" si="9"/>
        <v/>
      </c>
      <c r="H88" s="63"/>
      <c r="I88" s="63"/>
      <c r="J88" s="63"/>
      <c r="K88" s="63"/>
      <c r="L88" s="63"/>
      <c r="M88" s="63"/>
      <c r="N88" s="63"/>
      <c r="O88" s="63"/>
      <c r="P88" s="63"/>
      <c r="Q88" s="63"/>
      <c r="R88" s="63"/>
      <c r="S88" s="63"/>
    </row>
    <row r="89" spans="1:19" x14ac:dyDescent="0.3">
      <c r="A89" s="67">
        <v>3</v>
      </c>
      <c r="B89" s="67"/>
      <c r="C89" s="67">
        <f>IF(B49="",0,((((-C88+D49)/(C27*F27))^-1-D27^-1)*F38*1000))</f>
        <v>334.399311432221</v>
      </c>
      <c r="D89" s="67">
        <f>IF(C89=0,"",C89)</f>
        <v>334.399311432221</v>
      </c>
      <c r="E89" s="67">
        <f>IF(B49="",0,(C89/B49)*F49- F49)</f>
        <v>239581.18058176781</v>
      </c>
      <c r="F89" s="67">
        <f>IF(E89=0,0,(E88+E89))</f>
        <v>42316.460581768071</v>
      </c>
      <c r="G89" s="67" t="str">
        <f t="shared" si="9"/>
        <v/>
      </c>
      <c r="H89" s="63"/>
      <c r="I89" s="63"/>
      <c r="J89" s="63"/>
      <c r="K89" s="63"/>
      <c r="L89" s="63"/>
      <c r="M89" s="63"/>
      <c r="N89" s="63"/>
      <c r="O89" s="63"/>
      <c r="P89" s="63"/>
      <c r="Q89" s="63"/>
      <c r="R89" s="63"/>
      <c r="S89" s="63"/>
    </row>
    <row r="90" spans="1:19" x14ac:dyDescent="0.3">
      <c r="A90" s="67"/>
      <c r="B90" s="67"/>
      <c r="C90" s="68"/>
      <c r="D90" s="67"/>
      <c r="E90" s="67"/>
      <c r="F90" s="67"/>
      <c r="G90" s="67" t="str">
        <f t="shared" si="9"/>
        <v/>
      </c>
      <c r="H90" s="63"/>
      <c r="I90" s="63"/>
      <c r="J90" s="63"/>
      <c r="K90" s="63"/>
      <c r="L90" s="63"/>
      <c r="M90" s="63"/>
      <c r="N90" s="63"/>
      <c r="O90" s="63"/>
      <c r="P90" s="63"/>
      <c r="Q90" s="63"/>
      <c r="R90" s="63"/>
      <c r="S90" s="63"/>
    </row>
    <row r="91" spans="1:19" x14ac:dyDescent="0.3">
      <c r="A91" s="67">
        <v>2</v>
      </c>
      <c r="B91" s="67">
        <f>$B$88</f>
        <v>2268544.2800000003</v>
      </c>
      <c r="C91" s="67">
        <f>$C$88</f>
        <v>17.383605942728622</v>
      </c>
      <c r="D91" s="67"/>
      <c r="E91" s="67">
        <f>$E$88</f>
        <v>-197264.71999999974</v>
      </c>
      <c r="F91" s="67"/>
      <c r="G91" s="67" t="str">
        <f t="shared" si="9"/>
        <v/>
      </c>
      <c r="H91" s="63"/>
      <c r="I91" s="63"/>
      <c r="J91" s="63"/>
      <c r="K91" s="63"/>
      <c r="L91" s="63"/>
      <c r="M91" s="63"/>
      <c r="N91" s="63"/>
      <c r="O91" s="63"/>
      <c r="P91" s="63"/>
      <c r="Q91" s="63"/>
      <c r="R91" s="63"/>
      <c r="S91" s="63"/>
    </row>
    <row r="92" spans="1:19" x14ac:dyDescent="0.3">
      <c r="A92" s="67">
        <v>4</v>
      </c>
      <c r="B92" s="67"/>
      <c r="C92" s="67">
        <f>IF(B50="",0,((((-C91+D50)/(C28*F28))^-1-D28^-1)*F39*1000))</f>
        <v>149.02053428980068</v>
      </c>
      <c r="D92" s="67">
        <f>IF(C92=0,"",C92)</f>
        <v>149.02053428980068</v>
      </c>
      <c r="E92" s="67">
        <f>IF(B50="",0,(C92/B50)*F50- F50)</f>
        <v>278856.19352254167</v>
      </c>
      <c r="F92" s="67">
        <f>IF(E92=0,0,(E91+E92))</f>
        <v>81591.473522541928</v>
      </c>
      <c r="G92" s="67" t="str">
        <f t="shared" si="9"/>
        <v/>
      </c>
      <c r="H92" s="63"/>
      <c r="I92" s="63"/>
      <c r="J92" s="63"/>
      <c r="K92" s="63"/>
      <c r="L92" s="63"/>
      <c r="M92" s="63"/>
      <c r="N92" s="63"/>
      <c r="O92" s="63"/>
      <c r="P92" s="63"/>
      <c r="Q92" s="63"/>
      <c r="R92" s="63"/>
      <c r="S92" s="63"/>
    </row>
    <row r="93" spans="1:19" x14ac:dyDescent="0.3">
      <c r="A93" s="67"/>
      <c r="B93" s="67"/>
      <c r="C93" s="67"/>
      <c r="D93" s="67"/>
      <c r="E93" s="67"/>
      <c r="F93" s="67"/>
      <c r="G93" s="67" t="str">
        <f t="shared" si="9"/>
        <v/>
      </c>
      <c r="H93" s="63"/>
      <c r="I93" s="63"/>
      <c r="J93" s="63"/>
      <c r="K93" s="63"/>
      <c r="L93" s="63"/>
      <c r="M93" s="63"/>
      <c r="N93" s="63"/>
      <c r="O93" s="63"/>
      <c r="P93" s="63"/>
      <c r="Q93" s="63"/>
      <c r="R93" s="63"/>
      <c r="S93" s="63"/>
    </row>
    <row r="94" spans="1:19" x14ac:dyDescent="0.3">
      <c r="A94" s="67">
        <v>2</v>
      </c>
      <c r="B94" s="67">
        <f>$B$88</f>
        <v>2268544.2800000003</v>
      </c>
      <c r="C94" s="67">
        <f>$C$88</f>
        <v>17.383605942728622</v>
      </c>
      <c r="D94" s="67"/>
      <c r="E94" s="67">
        <f>$E$88</f>
        <v>-197264.71999999974</v>
      </c>
      <c r="F94" s="67"/>
      <c r="G94" s="67" t="str">
        <f t="shared" si="9"/>
        <v/>
      </c>
      <c r="H94" s="63"/>
      <c r="I94" s="63"/>
      <c r="J94" s="63"/>
      <c r="K94" s="63"/>
      <c r="L94" s="63"/>
      <c r="M94" s="63"/>
      <c r="N94" s="63"/>
      <c r="O94" s="63"/>
      <c r="P94" s="63"/>
      <c r="Q94" s="63"/>
      <c r="R94" s="63"/>
      <c r="S94" s="63"/>
    </row>
    <row r="95" spans="1:19" x14ac:dyDescent="0.3">
      <c r="A95" s="67">
        <v>5</v>
      </c>
      <c r="B95" s="67"/>
      <c r="C95" s="67">
        <f>IF(B51="",0,((((-C94+D51)/(C29*F29))^-1-D29^-1)*F40*1000))</f>
        <v>5643.6208778678265</v>
      </c>
      <c r="D95" s="67">
        <f>IF(C95=0,"",C95)</f>
        <v>5643.6208778678265</v>
      </c>
      <c r="E95" s="67">
        <f>(IF(B51="",0,C95/B51)*F51- F51)</f>
        <v>6858900.5513326237</v>
      </c>
      <c r="F95" s="67">
        <f>IF(E95=0,0,(E94+E95))</f>
        <v>6661635.831332624</v>
      </c>
      <c r="G95" s="67" t="str">
        <f t="shared" si="9"/>
        <v/>
      </c>
      <c r="H95" s="63"/>
      <c r="I95" s="63"/>
      <c r="J95" s="63"/>
      <c r="K95" s="63"/>
      <c r="L95" s="63"/>
      <c r="M95" s="63"/>
      <c r="N95" s="63"/>
      <c r="O95" s="63"/>
      <c r="P95" s="63"/>
      <c r="Q95" s="63"/>
      <c r="R95" s="63"/>
      <c r="S95" s="63"/>
    </row>
    <row r="96" spans="1:19" x14ac:dyDescent="0.3">
      <c r="A96" s="67"/>
      <c r="B96" s="67"/>
      <c r="C96" s="67"/>
      <c r="D96" s="67"/>
      <c r="E96" s="67"/>
      <c r="F96" s="67"/>
      <c r="G96" s="67" t="str">
        <f t="shared" si="9"/>
        <v/>
      </c>
      <c r="H96" s="63"/>
      <c r="I96" s="63"/>
      <c r="J96" s="63"/>
      <c r="K96" s="63"/>
      <c r="L96" s="63"/>
      <c r="M96" s="63"/>
      <c r="N96" s="63"/>
      <c r="O96" s="63"/>
      <c r="P96" s="63"/>
      <c r="Q96" s="63"/>
      <c r="R96" s="63"/>
      <c r="S96" s="63"/>
    </row>
    <row r="97" spans="1:19" x14ac:dyDescent="0.3">
      <c r="A97" s="67">
        <v>2</v>
      </c>
      <c r="B97" s="67">
        <f>$B$88</f>
        <v>2268544.2800000003</v>
      </c>
      <c r="C97" s="67">
        <f>$C$88</f>
        <v>17.383605942728622</v>
      </c>
      <c r="D97" s="67"/>
      <c r="E97" s="67">
        <f>$E$88</f>
        <v>-197264.71999999974</v>
      </c>
      <c r="F97" s="67"/>
      <c r="G97" s="67" t="str">
        <f t="shared" si="9"/>
        <v/>
      </c>
      <c r="H97" s="63"/>
      <c r="I97" s="63"/>
      <c r="J97" s="63"/>
      <c r="K97" s="63"/>
      <c r="L97" s="63"/>
      <c r="M97" s="63"/>
      <c r="N97" s="63"/>
      <c r="O97" s="63"/>
      <c r="P97" s="63"/>
      <c r="Q97" s="63"/>
      <c r="R97" s="63"/>
      <c r="S97" s="63"/>
    </row>
    <row r="98" spans="1:19" x14ac:dyDescent="0.3">
      <c r="A98" s="67">
        <v>6</v>
      </c>
      <c r="B98" s="67"/>
      <c r="C98" s="67">
        <f>IF(B52="",0,((((-C97+D52)/(C30*F30))^-1-D30^-1)*F41*1000))</f>
        <v>217.18758047597822</v>
      </c>
      <c r="D98" s="67">
        <f>IF(C98=0,"",C98)</f>
        <v>217.18758047597822</v>
      </c>
      <c r="E98" s="67">
        <f>IF(B52="",0,(C98/B52)*F52- F52)</f>
        <v>269087.91449463251</v>
      </c>
      <c r="F98" s="67">
        <f>IF(E98=0,0,(E97+E98))</f>
        <v>71823.194494632771</v>
      </c>
      <c r="G98" s="67" t="str">
        <f t="shared" si="9"/>
        <v/>
      </c>
      <c r="H98" s="63"/>
      <c r="I98" s="63"/>
      <c r="J98" s="63"/>
      <c r="K98" s="63"/>
      <c r="L98" s="63"/>
      <c r="M98" s="63"/>
      <c r="N98" s="63"/>
      <c r="O98" s="63"/>
      <c r="P98" s="63"/>
      <c r="Q98" s="63"/>
      <c r="R98" s="63"/>
      <c r="S98" s="63"/>
    </row>
    <row r="99" spans="1:19" x14ac:dyDescent="0.3">
      <c r="A99" s="67"/>
      <c r="B99" s="67"/>
      <c r="C99" s="67"/>
      <c r="D99" s="67"/>
      <c r="E99" s="67"/>
      <c r="F99" s="67"/>
      <c r="G99" s="67" t="str">
        <f t="shared" si="9"/>
        <v/>
      </c>
      <c r="H99" s="63"/>
      <c r="I99" s="63"/>
      <c r="J99" s="63"/>
      <c r="K99" s="63"/>
      <c r="L99" s="63"/>
      <c r="M99" s="63"/>
      <c r="N99" s="63"/>
      <c r="O99" s="63"/>
      <c r="P99" s="63"/>
      <c r="Q99" s="63"/>
      <c r="R99" s="63"/>
      <c r="S99" s="63"/>
    </row>
    <row r="100" spans="1:19" x14ac:dyDescent="0.3">
      <c r="A100" s="67">
        <v>2</v>
      </c>
      <c r="B100" s="67">
        <f>$B$88</f>
        <v>2268544.2800000003</v>
      </c>
      <c r="C100" s="67">
        <f>$C$88</f>
        <v>17.383605942728622</v>
      </c>
      <c r="D100" s="67"/>
      <c r="E100" s="67">
        <f>$E$88</f>
        <v>-197264.71999999974</v>
      </c>
      <c r="F100" s="67"/>
      <c r="G100" s="67" t="str">
        <f t="shared" si="9"/>
        <v/>
      </c>
      <c r="H100" s="63"/>
      <c r="I100" s="63"/>
      <c r="J100" s="63"/>
      <c r="K100" s="63"/>
      <c r="L100" s="63"/>
      <c r="M100" s="63"/>
      <c r="N100" s="63"/>
      <c r="O100" s="63"/>
      <c r="P100" s="63"/>
      <c r="Q100" s="63"/>
      <c r="R100" s="63"/>
      <c r="S100" s="63"/>
    </row>
    <row r="101" spans="1:19" x14ac:dyDescent="0.3">
      <c r="A101" s="67">
        <v>7</v>
      </c>
      <c r="B101" s="67"/>
      <c r="C101" s="67">
        <f>IF(B53="",0,((((-C100+D53)/(C31*F31))^-1-D31^-1)*F42*1000))</f>
        <v>100.68740055845247</v>
      </c>
      <c r="D101" s="67">
        <f>IF(C101=0,"",C101)</f>
        <v>100.68740055845247</v>
      </c>
      <c r="E101" s="67">
        <f>IF(B53="",0,(C101/B53)*F53- F53)</f>
        <v>233935.32333501521</v>
      </c>
      <c r="F101" s="67">
        <f>IF(E101=0,0,(E100+E101))</f>
        <v>36670.603335015476</v>
      </c>
      <c r="G101" s="67" t="str">
        <f t="shared" si="9"/>
        <v/>
      </c>
      <c r="H101" s="63"/>
      <c r="I101" s="63"/>
      <c r="J101" s="63"/>
      <c r="K101" s="63"/>
      <c r="L101" s="63"/>
      <c r="M101" s="63"/>
      <c r="N101" s="63"/>
      <c r="O101" s="63"/>
      <c r="P101" s="63"/>
      <c r="Q101" s="63"/>
      <c r="R101" s="63"/>
      <c r="S101" s="63"/>
    </row>
    <row r="102" spans="1:19" x14ac:dyDescent="0.3">
      <c r="A102" s="67"/>
      <c r="B102" s="67"/>
      <c r="C102" s="67"/>
      <c r="D102" s="67"/>
      <c r="E102" s="67"/>
      <c r="F102" s="67"/>
      <c r="G102" s="67" t="str">
        <f t="shared" si="9"/>
        <v/>
      </c>
      <c r="H102" s="63"/>
      <c r="I102" s="63"/>
      <c r="J102" s="63"/>
      <c r="K102" s="63"/>
      <c r="L102" s="63"/>
      <c r="M102" s="63"/>
      <c r="N102" s="63"/>
      <c r="O102" s="63"/>
      <c r="P102" s="63"/>
      <c r="Q102" s="63"/>
      <c r="R102" s="63"/>
      <c r="S102" s="63"/>
    </row>
    <row r="103" spans="1:19" x14ac:dyDescent="0.3">
      <c r="A103" s="67">
        <v>2</v>
      </c>
      <c r="B103" s="67">
        <f>$B$88</f>
        <v>2268544.2800000003</v>
      </c>
      <c r="C103" s="67">
        <f>$C$88</f>
        <v>17.383605942728622</v>
      </c>
      <c r="D103" s="67"/>
      <c r="E103" s="67">
        <f>$E$88</f>
        <v>-197264.71999999974</v>
      </c>
      <c r="F103" s="67"/>
      <c r="G103" s="67" t="str">
        <f t="shared" si="9"/>
        <v/>
      </c>
      <c r="H103" s="63"/>
      <c r="I103" s="63"/>
      <c r="J103" s="63"/>
      <c r="K103" s="63"/>
      <c r="L103" s="63"/>
      <c r="M103" s="63"/>
      <c r="N103" s="63"/>
      <c r="O103" s="63"/>
      <c r="P103" s="63"/>
      <c r="Q103" s="63"/>
      <c r="R103" s="63"/>
      <c r="S103" s="63"/>
    </row>
    <row r="104" spans="1:19" x14ac:dyDescent="0.3">
      <c r="A104" s="67">
        <v>8</v>
      </c>
      <c r="B104" s="67"/>
      <c r="C104" s="67">
        <f>IF(B54="",0,((((-C103+D54)/(C32*F32))^-1-D32^-1)*F43*1000))</f>
        <v>145.82413340238361</v>
      </c>
      <c r="D104" s="67">
        <f>IF(C104=0,"",C104)</f>
        <v>145.82413340238361</v>
      </c>
      <c r="E104" s="67">
        <f>IF(B54="",0,(C104/B54)*F54- F54)</f>
        <v>232998.12333249114</v>
      </c>
      <c r="F104" s="67">
        <f>IF(E104=0,0,(E103+E104))</f>
        <v>35733.403332491405</v>
      </c>
      <c r="G104" s="67" t="str">
        <f t="shared" si="9"/>
        <v/>
      </c>
      <c r="H104" s="63"/>
      <c r="I104" s="63"/>
      <c r="J104" s="63"/>
      <c r="K104" s="63"/>
      <c r="L104" s="63"/>
      <c r="M104" s="63"/>
      <c r="N104" s="63"/>
      <c r="O104" s="63"/>
      <c r="P104" s="63"/>
      <c r="Q104" s="63"/>
      <c r="R104" s="63"/>
      <c r="S104" s="63"/>
    </row>
    <row r="105" spans="1:19" x14ac:dyDescent="0.3">
      <c r="A105" s="67"/>
      <c r="B105" s="67"/>
      <c r="C105" s="67"/>
      <c r="D105" s="67"/>
      <c r="E105" s="67"/>
      <c r="F105" s="67"/>
      <c r="G105" s="67" t="str">
        <f t="shared" si="9"/>
        <v/>
      </c>
      <c r="H105" s="63"/>
      <c r="I105" s="63"/>
      <c r="J105" s="63"/>
      <c r="K105" s="63"/>
      <c r="L105" s="63"/>
      <c r="M105" s="63"/>
      <c r="N105" s="63"/>
      <c r="O105" s="63"/>
      <c r="P105" s="63"/>
      <c r="Q105" s="63"/>
      <c r="R105" s="63"/>
      <c r="S105" s="63"/>
    </row>
    <row r="106" spans="1:19" x14ac:dyDescent="0.3">
      <c r="A106" s="67">
        <v>3</v>
      </c>
      <c r="B106" s="67">
        <f>IF(F49="","",($D$19*F49))</f>
        <v>924108.72000000009</v>
      </c>
      <c r="C106" s="67">
        <f>IF(B106="",0,IF(B106="",0,(((($D$19*0.001*B49)/F38)+D27^-1)^-1)*C27*F27- D49))</f>
        <v>7.5304727101261477</v>
      </c>
      <c r="D106" s="67"/>
      <c r="E106" s="67">
        <f>IF(B49="",0,(($D$19*F49)-F49))</f>
        <v>-80357.279999999912</v>
      </c>
      <c r="F106" s="67"/>
      <c r="G106" s="67" t="str">
        <f t="shared" si="9"/>
        <v/>
      </c>
      <c r="H106" s="63"/>
      <c r="I106" s="63"/>
      <c r="J106" s="63"/>
      <c r="K106" s="63"/>
      <c r="L106" s="63"/>
      <c r="M106" s="63"/>
      <c r="N106" s="63"/>
      <c r="O106" s="63"/>
      <c r="P106" s="63"/>
      <c r="Q106" s="63"/>
      <c r="R106" s="63"/>
      <c r="S106" s="63"/>
    </row>
    <row r="107" spans="1:19" x14ac:dyDescent="0.3">
      <c r="A107" s="67">
        <v>4</v>
      </c>
      <c r="B107" s="67"/>
      <c r="C107" s="67">
        <f>IF(B50="",0,((((-C106+D50)/(C28*F28))^-1-D28^-1)*F39*1000))</f>
        <v>117.76520237695021</v>
      </c>
      <c r="D107" s="67">
        <f>IF(C107=0,"",C107)</f>
        <v>117.76520237695021</v>
      </c>
      <c r="E107" s="67">
        <f>IF(B50="",0,(C107/B50)*F50- F50)</f>
        <v>97355.862187155406</v>
      </c>
      <c r="F107" s="67">
        <f>IF(E107=0,0,(E106+E107))</f>
        <v>16998.582187155494</v>
      </c>
      <c r="G107" s="67" t="str">
        <f t="shared" si="9"/>
        <v/>
      </c>
      <c r="H107" s="63"/>
      <c r="I107" s="63"/>
      <c r="J107" s="63"/>
      <c r="K107" s="63"/>
      <c r="L107" s="63"/>
      <c r="M107" s="63"/>
      <c r="N107" s="63"/>
      <c r="O107" s="63"/>
      <c r="P107" s="63"/>
      <c r="Q107" s="63"/>
      <c r="R107" s="63"/>
      <c r="S107" s="63"/>
    </row>
    <row r="108" spans="1:19" x14ac:dyDescent="0.3">
      <c r="A108" s="67"/>
      <c r="B108" s="67"/>
      <c r="C108" s="67"/>
      <c r="D108" s="67"/>
      <c r="E108" s="67"/>
      <c r="F108" s="67"/>
      <c r="G108" s="67" t="str">
        <f t="shared" si="9"/>
        <v/>
      </c>
      <c r="H108" s="63"/>
      <c r="I108" s="63"/>
      <c r="J108" s="63"/>
      <c r="K108" s="63"/>
      <c r="L108" s="63"/>
      <c r="M108" s="63"/>
      <c r="N108" s="63"/>
      <c r="O108" s="63"/>
      <c r="P108" s="63"/>
      <c r="Q108" s="63"/>
      <c r="R108" s="63"/>
      <c r="S108" s="63"/>
    </row>
    <row r="109" spans="1:19" x14ac:dyDescent="0.3">
      <c r="A109" s="67">
        <v>3</v>
      </c>
      <c r="B109" s="67">
        <f>$B$106</f>
        <v>924108.72000000009</v>
      </c>
      <c r="C109" s="67">
        <f>$C$106</f>
        <v>7.5304727101261477</v>
      </c>
      <c r="D109" s="67"/>
      <c r="E109" s="67">
        <f>$E$106</f>
        <v>-80357.279999999912</v>
      </c>
      <c r="F109" s="67"/>
      <c r="G109" s="67" t="str">
        <f t="shared" si="9"/>
        <v/>
      </c>
      <c r="H109" s="63"/>
      <c r="I109" s="63"/>
      <c r="J109" s="63"/>
      <c r="K109" s="63"/>
      <c r="L109" s="63"/>
      <c r="M109" s="63"/>
      <c r="N109" s="63"/>
      <c r="O109" s="63"/>
      <c r="P109" s="63"/>
      <c r="Q109" s="63"/>
      <c r="R109" s="63"/>
      <c r="S109" s="63"/>
    </row>
    <row r="110" spans="1:19" x14ac:dyDescent="0.3">
      <c r="A110" s="67">
        <v>5</v>
      </c>
      <c r="B110" s="67"/>
      <c r="C110" s="67">
        <f>IF(B51="",0,((((-C109+D51)/(C29*F29))^-1-D29^-1)*F40*1000))</f>
        <v>318.82388115639486</v>
      </c>
      <c r="D110" s="67">
        <f>IF(C110=0,"",C110)</f>
        <v>318.82388115639486</v>
      </c>
      <c r="E110" s="67">
        <f>IF(B51="",0,(C110/B51)*F51- F51)</f>
        <v>180388.02100009774</v>
      </c>
      <c r="F110" s="67">
        <f>IF(E110=0,0,(E109+E110))</f>
        <v>100030.74100009783</v>
      </c>
      <c r="G110" s="67" t="str">
        <f t="shared" si="9"/>
        <v/>
      </c>
      <c r="H110" s="63"/>
      <c r="I110" s="63"/>
      <c r="J110" s="63"/>
      <c r="K110" s="63"/>
      <c r="L110" s="63"/>
      <c r="M110" s="63"/>
      <c r="N110" s="63"/>
      <c r="O110" s="63"/>
      <c r="P110" s="63"/>
      <c r="Q110" s="63"/>
      <c r="R110" s="63"/>
      <c r="S110" s="63"/>
    </row>
    <row r="111" spans="1:19" x14ac:dyDescent="0.3">
      <c r="A111" s="67"/>
      <c r="B111" s="67"/>
      <c r="C111" s="67"/>
      <c r="D111" s="67"/>
      <c r="E111" s="67"/>
      <c r="F111" s="67"/>
      <c r="G111" s="67" t="str">
        <f t="shared" si="9"/>
        <v/>
      </c>
      <c r="H111" s="63"/>
      <c r="I111" s="63"/>
      <c r="J111" s="63"/>
      <c r="K111" s="63"/>
      <c r="L111" s="63"/>
      <c r="M111" s="63"/>
      <c r="N111" s="63"/>
      <c r="O111" s="63"/>
      <c r="P111" s="63"/>
      <c r="Q111" s="63"/>
      <c r="R111" s="63"/>
      <c r="S111" s="63"/>
    </row>
    <row r="112" spans="1:19" x14ac:dyDescent="0.3">
      <c r="A112" s="67">
        <v>3</v>
      </c>
      <c r="B112" s="67">
        <f>$B$106</f>
        <v>924108.72000000009</v>
      </c>
      <c r="C112" s="67">
        <f>$C$106</f>
        <v>7.5304727101261477</v>
      </c>
      <c r="D112" s="67"/>
      <c r="E112" s="67">
        <f>$E$106</f>
        <v>-80357.279999999912</v>
      </c>
      <c r="F112" s="67"/>
      <c r="G112" s="67" t="str">
        <f t="shared" si="9"/>
        <v/>
      </c>
      <c r="H112" s="63"/>
      <c r="I112" s="63"/>
      <c r="J112" s="63"/>
      <c r="K112" s="63"/>
      <c r="L112" s="63"/>
      <c r="M112" s="63"/>
      <c r="N112" s="63"/>
      <c r="O112" s="63"/>
      <c r="P112" s="63"/>
      <c r="Q112" s="63"/>
      <c r="R112" s="63"/>
      <c r="S112" s="63"/>
    </row>
    <row r="113" spans="1:19" x14ac:dyDescent="0.3">
      <c r="A113" s="67">
        <v>6</v>
      </c>
      <c r="B113" s="67"/>
      <c r="C113" s="67">
        <f>IF(B52="",0,((((-C112+D52)/(C30*F30))^-1-D30^-1)*F41*1000))</f>
        <v>190.10355101841452</v>
      </c>
      <c r="D113" s="67">
        <f>IF(C113=0,"",C113)</f>
        <v>190.10355101841452</v>
      </c>
      <c r="E113" s="67">
        <f>IF(B52="",0,(C113/B52)*F52- F52)</f>
        <v>100336.04364368902</v>
      </c>
      <c r="F113" s="67">
        <f>IF(E113=0,0,(E112+E113))</f>
        <v>19978.763643689104</v>
      </c>
      <c r="G113" s="67" t="str">
        <f t="shared" si="9"/>
        <v/>
      </c>
      <c r="H113" s="63"/>
      <c r="I113" s="63"/>
      <c r="J113" s="63"/>
      <c r="K113" s="63"/>
      <c r="L113" s="63"/>
      <c r="M113" s="63"/>
      <c r="N113" s="63"/>
      <c r="O113" s="63"/>
      <c r="P113" s="63"/>
      <c r="Q113" s="63"/>
      <c r="R113" s="63"/>
      <c r="S113" s="63"/>
    </row>
    <row r="114" spans="1:19" x14ac:dyDescent="0.3">
      <c r="A114" s="67"/>
      <c r="B114" s="67"/>
      <c r="C114" s="67"/>
      <c r="D114" s="67"/>
      <c r="E114" s="67"/>
      <c r="F114" s="67"/>
      <c r="G114" s="67" t="str">
        <f t="shared" si="9"/>
        <v/>
      </c>
      <c r="H114" s="63"/>
      <c r="I114" s="63"/>
      <c r="J114" s="63"/>
      <c r="K114" s="63"/>
      <c r="L114" s="63"/>
      <c r="M114" s="63"/>
      <c r="N114" s="63"/>
      <c r="O114" s="63"/>
      <c r="P114" s="63"/>
      <c r="Q114" s="63"/>
      <c r="R114" s="63"/>
      <c r="S114" s="63"/>
    </row>
    <row r="115" spans="1:19" x14ac:dyDescent="0.3">
      <c r="A115" s="67">
        <v>3</v>
      </c>
      <c r="B115" s="67">
        <f>$B$106</f>
        <v>924108.72000000009</v>
      </c>
      <c r="C115" s="67">
        <f>$C$106</f>
        <v>7.5304727101261477</v>
      </c>
      <c r="D115" s="67"/>
      <c r="E115" s="67">
        <f>$E$106</f>
        <v>-80357.279999999912</v>
      </c>
      <c r="F115" s="67"/>
      <c r="G115" s="67" t="str">
        <f t="shared" si="9"/>
        <v/>
      </c>
      <c r="H115" s="63"/>
      <c r="I115" s="63"/>
      <c r="J115" s="63"/>
      <c r="K115" s="63"/>
      <c r="L115" s="63"/>
      <c r="M115" s="63"/>
      <c r="N115" s="63"/>
      <c r="O115" s="63"/>
      <c r="P115" s="63"/>
      <c r="Q115" s="63"/>
      <c r="R115" s="63"/>
      <c r="S115" s="63"/>
    </row>
    <row r="116" spans="1:19" x14ac:dyDescent="0.3">
      <c r="A116" s="67">
        <v>7</v>
      </c>
      <c r="B116" s="67"/>
      <c r="C116" s="67">
        <f>IF(B53="",0,((((-C115+D53)/(C31*F31))^-1-D31^-1)*F42*1000))</f>
        <v>94.393966728529804</v>
      </c>
      <c r="D116" s="67">
        <f>IF(C116=0,"",C116)</f>
        <v>94.393966728529804</v>
      </c>
      <c r="E116" s="67">
        <f>IF(B53="",0,(C116/B53)*F53- F53)</f>
        <v>96179.049502263544</v>
      </c>
      <c r="F116" s="67">
        <f>IF(E116=0,0,(E115+E116))</f>
        <v>15821.769502263633</v>
      </c>
      <c r="G116" s="67" t="str">
        <f t="shared" si="9"/>
        <v/>
      </c>
      <c r="H116" s="63"/>
      <c r="I116" s="63"/>
      <c r="J116" s="63"/>
      <c r="K116" s="63"/>
      <c r="L116" s="63"/>
      <c r="M116" s="63"/>
      <c r="N116" s="63"/>
      <c r="O116" s="63"/>
      <c r="P116" s="63"/>
      <c r="Q116" s="63"/>
      <c r="R116" s="63"/>
      <c r="S116" s="63"/>
    </row>
    <row r="117" spans="1:19" x14ac:dyDescent="0.3">
      <c r="A117" s="67"/>
      <c r="B117" s="67"/>
      <c r="C117" s="67"/>
      <c r="D117" s="67"/>
      <c r="E117" s="67"/>
      <c r="F117" s="67"/>
      <c r="G117" s="67" t="str">
        <f t="shared" si="9"/>
        <v/>
      </c>
      <c r="H117" s="63"/>
      <c r="I117" s="63"/>
      <c r="J117" s="63"/>
      <c r="K117" s="63"/>
      <c r="L117" s="63"/>
      <c r="M117" s="63"/>
      <c r="N117" s="63"/>
      <c r="O117" s="63"/>
      <c r="P117" s="63"/>
      <c r="Q117" s="63"/>
      <c r="R117" s="63"/>
      <c r="S117" s="63"/>
    </row>
    <row r="118" spans="1:19" x14ac:dyDescent="0.3">
      <c r="A118" s="67">
        <v>3</v>
      </c>
      <c r="B118" s="67">
        <f>$B$106</f>
        <v>924108.72000000009</v>
      </c>
      <c r="C118" s="67">
        <f>$C$106</f>
        <v>7.5304727101261477</v>
      </c>
      <c r="D118" s="67"/>
      <c r="E118" s="67">
        <f>$E$106</f>
        <v>-80357.279999999912</v>
      </c>
      <c r="F118" s="67"/>
      <c r="G118" s="67" t="str">
        <f t="shared" si="9"/>
        <v/>
      </c>
      <c r="H118" s="63"/>
      <c r="I118" s="63"/>
      <c r="J118" s="63"/>
      <c r="K118" s="63"/>
      <c r="L118" s="63"/>
      <c r="M118" s="63"/>
      <c r="N118" s="63"/>
      <c r="O118" s="63"/>
      <c r="P118" s="63"/>
      <c r="Q118" s="63"/>
      <c r="R118" s="63"/>
      <c r="S118" s="63"/>
    </row>
    <row r="119" spans="1:19" x14ac:dyDescent="0.3">
      <c r="A119" s="67">
        <v>8</v>
      </c>
      <c r="B119" s="67"/>
      <c r="C119" s="67">
        <f>IF(B54="",0,((((-C118+D54)/(C32*F32))^-1-D32^-1)*F43*1000))</f>
        <v>137.79392429463809</v>
      </c>
      <c r="D119" s="67">
        <f>IF(C119=0,"",C119)</f>
        <v>137.79392429463809</v>
      </c>
      <c r="E119" s="67">
        <f>IF(B54="",0,(C119/B54)*F54- F54)</f>
        <v>97653.389770416543</v>
      </c>
      <c r="F119" s="67">
        <f>IF(E119=0,0,(E118+E119))</f>
        <v>17296.109770416631</v>
      </c>
      <c r="G119" s="67" t="str">
        <f t="shared" si="9"/>
        <v/>
      </c>
      <c r="H119" s="63"/>
      <c r="I119" s="63"/>
      <c r="J119" s="63"/>
      <c r="K119" s="63"/>
      <c r="L119" s="63"/>
      <c r="M119" s="63"/>
      <c r="N119" s="63"/>
      <c r="O119" s="63"/>
      <c r="P119" s="63"/>
      <c r="Q119" s="63"/>
      <c r="R119" s="63"/>
      <c r="S119" s="63"/>
    </row>
    <row r="120" spans="1:19" x14ac:dyDescent="0.3">
      <c r="A120" s="67"/>
      <c r="B120" s="67"/>
      <c r="C120" s="67"/>
      <c r="D120" s="67"/>
      <c r="E120" s="67"/>
      <c r="F120" s="67"/>
      <c r="G120" s="67" t="str">
        <f t="shared" si="9"/>
        <v/>
      </c>
      <c r="H120" s="63"/>
      <c r="I120" s="63"/>
      <c r="J120" s="63"/>
      <c r="K120" s="63"/>
      <c r="L120" s="63"/>
      <c r="M120" s="63"/>
      <c r="N120" s="63"/>
      <c r="O120" s="63"/>
      <c r="P120" s="63"/>
      <c r="Q120" s="63"/>
      <c r="R120" s="63"/>
      <c r="S120" s="63"/>
    </row>
    <row r="121" spans="1:19" x14ac:dyDescent="0.3">
      <c r="A121" s="59">
        <v>4</v>
      </c>
      <c r="B121" s="59">
        <f>IF(F50="","",($D$19*F50))</f>
        <v>539588.28</v>
      </c>
      <c r="C121" s="59">
        <f>IF(B121="",0,(((($D$19*0.001*B50)/F39)+D28^-1)^-1)*C28*F28- D50)</f>
        <v>4.5270935312549767</v>
      </c>
      <c r="D121" s="59"/>
      <c r="E121" s="59">
        <f>IF(B50="",0,(($D$19*F50)-F50))</f>
        <v>-46920.719999999972</v>
      </c>
      <c r="F121" s="59"/>
      <c r="G121" s="59" t="str">
        <f t="shared" si="9"/>
        <v/>
      </c>
      <c r="H121" s="57"/>
      <c r="I121" s="57"/>
      <c r="J121" s="57"/>
      <c r="K121" s="57"/>
    </row>
    <row r="122" spans="1:19" x14ac:dyDescent="0.3">
      <c r="A122" s="59">
        <v>5</v>
      </c>
      <c r="B122" s="59"/>
      <c r="C122" s="59">
        <f>IF(B51="",0,((((-C121+D51)/(C29*F29))^-1-D29^-1)*F40*1000))</f>
        <v>244.56711810723959</v>
      </c>
      <c r="D122" s="59">
        <f>IF(C122=0,"",C122)</f>
        <v>244.56711810723959</v>
      </c>
      <c r="E122" s="59">
        <f>IF(B51="",0,(C122/B51)*F51- F51)</f>
        <v>87253.067162045802</v>
      </c>
      <c r="F122" s="59">
        <f>IF(E122=0,0,(E121+E122))</f>
        <v>40332.347162045829</v>
      </c>
      <c r="G122" s="59" t="str">
        <f t="shared" si="9"/>
        <v/>
      </c>
      <c r="H122" s="57"/>
      <c r="I122" s="57"/>
      <c r="J122" s="57"/>
      <c r="K122" s="57"/>
    </row>
    <row r="123" spans="1:19" x14ac:dyDescent="0.3">
      <c r="A123" s="59"/>
      <c r="B123" s="59"/>
      <c r="C123" s="59"/>
      <c r="D123" s="59"/>
      <c r="E123" s="59"/>
      <c r="F123" s="59"/>
      <c r="G123" s="59" t="str">
        <f t="shared" si="9"/>
        <v/>
      </c>
      <c r="H123" s="57"/>
      <c r="I123" s="57"/>
      <c r="J123" s="57"/>
      <c r="K123" s="57"/>
    </row>
    <row r="124" spans="1:19" x14ac:dyDescent="0.3">
      <c r="A124" s="59">
        <v>4</v>
      </c>
      <c r="B124" s="59">
        <f>$B$121</f>
        <v>539588.28</v>
      </c>
      <c r="C124" s="59">
        <f>$C$121</f>
        <v>4.5270935312549767</v>
      </c>
      <c r="D124" s="59"/>
      <c r="E124" s="59">
        <f>$E$121</f>
        <v>-46920.719999999972</v>
      </c>
      <c r="F124" s="59"/>
      <c r="G124" s="59" t="str">
        <f t="shared" si="9"/>
        <v/>
      </c>
      <c r="H124" s="57"/>
      <c r="I124" s="57"/>
      <c r="J124" s="57"/>
      <c r="K124" s="57"/>
    </row>
    <row r="125" spans="1:19" x14ac:dyDescent="0.3">
      <c r="A125" s="59">
        <v>6</v>
      </c>
      <c r="B125" s="59"/>
      <c r="C125" s="59">
        <f>IF(B52="",0,((((-C124+D52)/(C30*F30))^-1-D30^-1)*F41*1000))</f>
        <v>183.06132778028135</v>
      </c>
      <c r="D125" s="59">
        <f>IF(C125=0,"",C125)</f>
        <v>183.06132778028135</v>
      </c>
      <c r="E125" s="59">
        <f>IF(B52="",0,(C125/B52)*F52- F52)</f>
        <v>56458.217109532328</v>
      </c>
      <c r="F125" s="59">
        <f>IF(E125=0,0,(E124+E125))</f>
        <v>9537.4971095323563</v>
      </c>
      <c r="G125" s="59" t="str">
        <f t="shared" si="9"/>
        <v/>
      </c>
      <c r="H125" s="57"/>
      <c r="I125" s="57"/>
      <c r="J125" s="57"/>
      <c r="K125" s="57"/>
    </row>
    <row r="126" spans="1:19" x14ac:dyDescent="0.3">
      <c r="A126" s="59"/>
      <c r="B126" s="59"/>
      <c r="C126" s="59"/>
      <c r="D126" s="59"/>
      <c r="E126" s="59"/>
      <c r="F126" s="59"/>
      <c r="G126" s="59" t="str">
        <f t="shared" si="9"/>
        <v/>
      </c>
      <c r="H126" s="57"/>
      <c r="I126" s="57"/>
      <c r="J126" s="57"/>
      <c r="K126" s="57"/>
    </row>
    <row r="127" spans="1:19" x14ac:dyDescent="0.3">
      <c r="A127" s="59">
        <v>4</v>
      </c>
      <c r="B127" s="59">
        <f>$B$121</f>
        <v>539588.28</v>
      </c>
      <c r="C127" s="59">
        <f>$C$121</f>
        <v>4.5270935312549767</v>
      </c>
      <c r="D127" s="59"/>
      <c r="E127" s="59">
        <f>$E$121</f>
        <v>-46920.719999999972</v>
      </c>
      <c r="F127" s="59"/>
      <c r="G127" s="59" t="str">
        <f t="shared" si="9"/>
        <v/>
      </c>
      <c r="H127" s="57"/>
      <c r="I127" s="57"/>
      <c r="J127" s="57"/>
      <c r="K127" s="57"/>
    </row>
    <row r="128" spans="1:19" x14ac:dyDescent="0.3">
      <c r="A128" s="59">
        <v>7</v>
      </c>
      <c r="B128" s="59"/>
      <c r="C128" s="59">
        <f>IF(B53="",0,((((-C127+D53)/(C31*F31))^-1-D31^-1)*F42*1000))</f>
        <v>92.612293880746549</v>
      </c>
      <c r="D128" s="59">
        <f>IF(C128=0,"",C128)</f>
        <v>92.612293880746549</v>
      </c>
      <c r="E128" s="59">
        <f>IF(B53="",0,(C128/B53)*F53- F53)</f>
        <v>57180.210500785382</v>
      </c>
      <c r="F128" s="59">
        <f>IF(E128=0,0,(E127+E128))</f>
        <v>10259.49050078541</v>
      </c>
      <c r="G128" s="59" t="str">
        <f t="shared" si="9"/>
        <v/>
      </c>
      <c r="H128" s="57"/>
      <c r="I128" s="57"/>
      <c r="J128" s="57"/>
      <c r="K128" s="57"/>
    </row>
    <row r="129" spans="1:11" x14ac:dyDescent="0.3">
      <c r="A129" s="59"/>
      <c r="B129" s="59"/>
      <c r="C129" s="59"/>
      <c r="D129" s="59"/>
      <c r="E129" s="59"/>
      <c r="F129" s="59"/>
      <c r="G129" s="59" t="str">
        <f t="shared" si="9"/>
        <v/>
      </c>
      <c r="H129" s="57"/>
      <c r="I129" s="57"/>
      <c r="J129" s="57"/>
      <c r="K129" s="57"/>
    </row>
    <row r="130" spans="1:11" x14ac:dyDescent="0.3">
      <c r="A130" s="59">
        <v>4</v>
      </c>
      <c r="B130" s="59">
        <f>$B$121</f>
        <v>539588.28</v>
      </c>
      <c r="C130" s="59">
        <f>$C$121</f>
        <v>4.5270935312549767</v>
      </c>
      <c r="D130" s="59"/>
      <c r="E130" s="59">
        <f>$E$121</f>
        <v>-46920.719999999972</v>
      </c>
      <c r="F130" s="59"/>
      <c r="G130" s="59" t="str">
        <f t="shared" si="9"/>
        <v/>
      </c>
      <c r="H130" s="57"/>
      <c r="I130" s="57"/>
      <c r="J130" s="57"/>
      <c r="K130" s="57"/>
    </row>
    <row r="131" spans="1:11" x14ac:dyDescent="0.3">
      <c r="A131" s="59">
        <v>8</v>
      </c>
      <c r="B131" s="59"/>
      <c r="C131" s="59">
        <f>IF(B54="",0,((((-C130+D54)/(C32*F32))^-1-D32^-1)*F43*1000))</f>
        <v>135.5055586944419</v>
      </c>
      <c r="D131" s="59">
        <f>IF(C131=0,"",C131)</f>
        <v>135.5055586944419</v>
      </c>
      <c r="E131" s="59">
        <f>IF(B54="",0,(C131/B54)*F54- F54)</f>
        <v>59084.253114630934</v>
      </c>
      <c r="F131" s="59">
        <f>IF(E131=0,0,(E130+E131))</f>
        <v>12163.533114630962</v>
      </c>
      <c r="G131" s="59" t="str">
        <f t="shared" si="9"/>
        <v/>
      </c>
      <c r="H131" s="57"/>
      <c r="I131" s="57"/>
      <c r="J131" s="57"/>
      <c r="K131" s="57"/>
    </row>
    <row r="132" spans="1:11" x14ac:dyDescent="0.3">
      <c r="A132" s="59"/>
      <c r="B132" s="59"/>
      <c r="C132" s="59"/>
      <c r="D132" s="59"/>
      <c r="E132" s="59"/>
      <c r="F132" s="59"/>
      <c r="G132" s="59" t="str">
        <f t="shared" ref="G132:G195" si="10">IF(F132&lt;0,F132,"")</f>
        <v/>
      </c>
      <c r="H132" s="57"/>
      <c r="I132" s="57"/>
      <c r="J132" s="57"/>
      <c r="K132" s="57"/>
    </row>
    <row r="133" spans="1:11" x14ac:dyDescent="0.3">
      <c r="A133" s="59">
        <v>5</v>
      </c>
      <c r="B133" s="59">
        <f>IF(F51="","",($D$19*F51))</f>
        <v>201930.80000000002</v>
      </c>
      <c r="C133" s="59">
        <f>IF(B133="",0,(((($D$19*0.001*B51)/F40)+D29^-1)^-1)*C29*F29- D51)</f>
        <v>1.896088019559901</v>
      </c>
      <c r="D133" s="59"/>
      <c r="E133" s="59">
        <f>IF(B51="",0,(($D$19*F51)-F51))</f>
        <v>-17559.199999999983</v>
      </c>
      <c r="F133" s="59"/>
      <c r="G133" s="59" t="str">
        <f t="shared" si="10"/>
        <v/>
      </c>
      <c r="H133" s="57"/>
      <c r="I133" s="57"/>
      <c r="J133" s="57"/>
      <c r="K133" s="57"/>
    </row>
    <row r="134" spans="1:11" x14ac:dyDescent="0.3">
      <c r="A134" s="59">
        <v>6</v>
      </c>
      <c r="B134" s="59"/>
      <c r="C134" s="59">
        <f>IF(B52="",0,((((-C133+D52)/(C30*F30))^-1-D30^-1)*F41*1000))</f>
        <v>177.278000135676</v>
      </c>
      <c r="D134" s="59">
        <f>IF(C134=0,"",C134)</f>
        <v>177.278000135676</v>
      </c>
      <c r="E134" s="59">
        <f>IF(B52="",0,(C134/B52)*F52- F52)</f>
        <v>20424.163856847677</v>
      </c>
      <c r="F134" s="59">
        <f>IF(E134=0,0,(E133+E134))</f>
        <v>2864.9638568476948</v>
      </c>
      <c r="G134" s="59" t="str">
        <f t="shared" si="10"/>
        <v/>
      </c>
      <c r="H134" s="57"/>
      <c r="I134" s="57"/>
      <c r="J134" s="57"/>
      <c r="K134" s="57"/>
    </row>
    <row r="135" spans="1:11" x14ac:dyDescent="0.3">
      <c r="A135" s="59"/>
      <c r="B135" s="59"/>
      <c r="C135" s="59"/>
      <c r="D135" s="59"/>
      <c r="E135" s="59"/>
      <c r="F135" s="59"/>
      <c r="G135" s="59" t="str">
        <f t="shared" si="10"/>
        <v/>
      </c>
      <c r="H135" s="57"/>
      <c r="I135" s="57"/>
      <c r="J135" s="57"/>
      <c r="K135" s="57"/>
    </row>
    <row r="136" spans="1:11" x14ac:dyDescent="0.3">
      <c r="A136" s="59">
        <v>5</v>
      </c>
      <c r="B136" s="59">
        <f>$B$133</f>
        <v>201930.80000000002</v>
      </c>
      <c r="C136" s="59">
        <f>$C$133</f>
        <v>1.896088019559901</v>
      </c>
      <c r="D136" s="59"/>
      <c r="E136" s="59">
        <f>$E$133</f>
        <v>-17559.199999999983</v>
      </c>
      <c r="F136" s="59"/>
      <c r="G136" s="59" t="str">
        <f t="shared" si="10"/>
        <v/>
      </c>
      <c r="H136" s="57"/>
      <c r="I136" s="57"/>
      <c r="J136" s="57"/>
      <c r="K136" s="57"/>
    </row>
    <row r="137" spans="1:11" x14ac:dyDescent="0.3">
      <c r="A137" s="59">
        <v>7</v>
      </c>
      <c r="B137" s="59"/>
      <c r="C137" s="59">
        <f>IF(B53="",0,((((-C136+D53)/(C31*F31))^-1-D31^-1)*F42*1000))</f>
        <v>91.099548890921511</v>
      </c>
      <c r="D137" s="59">
        <f>IF(C137=0,"",C137)</f>
        <v>91.099548890921511</v>
      </c>
      <c r="E137" s="59">
        <f>IF(B53="",0,(C137/B53)*F53- F53)</f>
        <v>24067.903501282213</v>
      </c>
      <c r="F137" s="59">
        <f>IF(E137=0,0,(E136+E137))</f>
        <v>6508.7035012822307</v>
      </c>
      <c r="G137" s="59" t="str">
        <f t="shared" si="10"/>
        <v/>
      </c>
      <c r="H137" s="57"/>
      <c r="I137" s="57"/>
      <c r="J137" s="57"/>
      <c r="K137" s="57"/>
    </row>
    <row r="138" spans="1:11" x14ac:dyDescent="0.3">
      <c r="A138" s="59"/>
      <c r="B138" s="59"/>
      <c r="C138" s="59"/>
      <c r="D138" s="59"/>
      <c r="E138" s="59"/>
      <c r="F138" s="59"/>
      <c r="G138" s="59" t="str">
        <f t="shared" si="10"/>
        <v/>
      </c>
      <c r="H138" s="57"/>
      <c r="I138" s="57"/>
      <c r="J138" s="57"/>
      <c r="K138" s="57"/>
    </row>
    <row r="139" spans="1:11" x14ac:dyDescent="0.3">
      <c r="A139" s="59">
        <v>5</v>
      </c>
      <c r="B139" s="59">
        <f>$B$133</f>
        <v>201930.80000000002</v>
      </c>
      <c r="C139" s="59">
        <f>$C$133</f>
        <v>1.896088019559901</v>
      </c>
      <c r="D139" s="59"/>
      <c r="E139" s="59">
        <f>$E$133</f>
        <v>-17559.199999999983</v>
      </c>
      <c r="F139" s="59"/>
      <c r="G139" s="59" t="str">
        <f t="shared" si="10"/>
        <v/>
      </c>
      <c r="H139" s="57"/>
      <c r="I139" s="57"/>
      <c r="J139" s="57"/>
      <c r="K139" s="57"/>
    </row>
    <row r="140" spans="1:11" x14ac:dyDescent="0.3">
      <c r="A140" s="59">
        <v>8</v>
      </c>
      <c r="B140" s="59"/>
      <c r="C140" s="59">
        <f>IF(B54="",0,((((-C139+D54)/(C32*F32))^-1-D32^-1)*F43*1000))</f>
        <v>133.55736119171988</v>
      </c>
      <c r="D140" s="59">
        <f>IF(C140=0,"",C140)</f>
        <v>133.55736119171988</v>
      </c>
      <c r="E140" s="59">
        <f>IF(B54="",0,(C140/B54)*F54- F54)</f>
        <v>26248.461618506815</v>
      </c>
      <c r="F140" s="59">
        <f>IF(E140=0,0,(E139+E140))</f>
        <v>8689.2616185068327</v>
      </c>
      <c r="G140" s="59" t="str">
        <f t="shared" si="10"/>
        <v/>
      </c>
      <c r="H140" s="57"/>
      <c r="I140" s="57"/>
      <c r="J140" s="57"/>
      <c r="K140" s="57"/>
    </row>
    <row r="141" spans="1:11" x14ac:dyDescent="0.3">
      <c r="A141" s="59"/>
      <c r="B141" s="59"/>
      <c r="C141" s="59"/>
      <c r="D141" s="59"/>
      <c r="E141" s="59"/>
      <c r="F141" s="59"/>
      <c r="G141" s="59" t="str">
        <f t="shared" si="10"/>
        <v/>
      </c>
      <c r="H141" s="57"/>
      <c r="I141" s="57"/>
      <c r="J141" s="57"/>
      <c r="K141" s="57"/>
    </row>
    <row r="142" spans="1:11" x14ac:dyDescent="0.3">
      <c r="A142" s="59">
        <v>6</v>
      </c>
      <c r="B142" s="59">
        <f>IF(F52="","",($D$19*F52))</f>
        <v>997406.96000000008</v>
      </c>
      <c r="C142" s="59">
        <f>IF(B142="",0,(((($D$19*0.001*B52)/F41)+D30^-1)^-1)*C30*F30- D52)</f>
        <v>6.9547635366689491</v>
      </c>
      <c r="D142" s="59"/>
      <c r="E142" s="59">
        <f>IF(B52="",0,(($D$19*F52)-F52))</f>
        <v>-86731.039999999921</v>
      </c>
      <c r="F142" s="59"/>
      <c r="G142" s="59" t="str">
        <f t="shared" si="10"/>
        <v/>
      </c>
      <c r="H142" s="57"/>
      <c r="I142" s="57"/>
      <c r="J142" s="57"/>
      <c r="K142" s="57"/>
    </row>
    <row r="143" spans="1:11" x14ac:dyDescent="0.3">
      <c r="A143" s="59">
        <v>7</v>
      </c>
      <c r="B143" s="57"/>
      <c r="C143" s="59">
        <f>IF(B53="",0,((((-C142+D53)/(C31*F31))^-1-D31^-1)*F42*1000))</f>
        <v>94.047786229764</v>
      </c>
      <c r="D143" s="59">
        <f>IF(C143=0,"",C143)</f>
        <v>94.047786229764</v>
      </c>
      <c r="E143" s="59">
        <f>IF(B53="",0,(C143/B53)*F53- F53)</f>
        <v>88601.54302927875</v>
      </c>
      <c r="F143" s="59">
        <f>IF(E143=0,0,(E142+E143))</f>
        <v>1870.5030292788288</v>
      </c>
      <c r="G143" s="59" t="str">
        <f t="shared" si="10"/>
        <v/>
      </c>
      <c r="H143" s="57"/>
      <c r="I143" s="57"/>
      <c r="J143" s="57"/>
      <c r="K143" s="57"/>
    </row>
    <row r="144" spans="1:11" x14ac:dyDescent="0.3">
      <c r="A144" s="59"/>
      <c r="B144" s="59"/>
      <c r="C144" s="59"/>
      <c r="D144" s="59"/>
      <c r="E144" s="59"/>
      <c r="F144" s="59"/>
      <c r="G144" s="59" t="str">
        <f t="shared" si="10"/>
        <v/>
      </c>
      <c r="H144" s="57"/>
      <c r="I144" s="57"/>
      <c r="J144" s="57"/>
      <c r="K144" s="57"/>
    </row>
    <row r="145" spans="1:11" x14ac:dyDescent="0.3">
      <c r="A145" s="59">
        <v>6</v>
      </c>
      <c r="B145" s="59">
        <f>$B$142</f>
        <v>997406.96000000008</v>
      </c>
      <c r="C145" s="59">
        <f>$C$142</f>
        <v>6.9547635366689491</v>
      </c>
      <c r="D145" s="59"/>
      <c r="E145" s="59">
        <f>$E$142</f>
        <v>-86731.039999999921</v>
      </c>
      <c r="F145" s="59"/>
      <c r="G145" s="59" t="str">
        <f t="shared" si="10"/>
        <v/>
      </c>
      <c r="H145" s="57"/>
      <c r="I145" s="57"/>
      <c r="J145" s="57"/>
      <c r="K145" s="57"/>
    </row>
    <row r="146" spans="1:11" x14ac:dyDescent="0.3">
      <c r="A146" s="59">
        <v>8</v>
      </c>
      <c r="B146" s="59"/>
      <c r="C146" s="59">
        <f>IF(B54="",0,((((-C145+D54)/(C32*F32))^-1-D32^-1)*F43*1000))</f>
        <v>137.34981428184881</v>
      </c>
      <c r="D146" s="59">
        <f>IF(C146=0,"",C146)</f>
        <v>137.34981428184881</v>
      </c>
      <c r="E146" s="59">
        <f>IF(B54="",0,(C146/B54)*F54- F54)</f>
        <v>90168.161111148074</v>
      </c>
      <c r="F146" s="59">
        <f>IF(E146=0,0,(E145+E146))</f>
        <v>3437.1211111481534</v>
      </c>
      <c r="G146" s="59" t="str">
        <f t="shared" si="10"/>
        <v/>
      </c>
      <c r="H146" s="57"/>
      <c r="I146" s="57"/>
      <c r="J146" s="57"/>
      <c r="K146" s="57"/>
    </row>
    <row r="147" spans="1:11" x14ac:dyDescent="0.3">
      <c r="A147" s="59"/>
      <c r="B147" s="59"/>
      <c r="C147" s="59"/>
      <c r="D147" s="59"/>
      <c r="E147" s="59"/>
      <c r="F147" s="59"/>
      <c r="G147" s="59" t="str">
        <f t="shared" si="10"/>
        <v/>
      </c>
      <c r="H147" s="57"/>
      <c r="I147" s="57"/>
      <c r="J147" s="57"/>
      <c r="K147" s="57"/>
    </row>
    <row r="148" spans="1:11" x14ac:dyDescent="0.3">
      <c r="A148" s="59">
        <v>7</v>
      </c>
      <c r="B148" s="59">
        <f>IF(F53="","",($D$19*F53))</f>
        <v>1812400</v>
      </c>
      <c r="C148" s="59">
        <f>IF(B148="",0,(((($D$19*0.001*B53)/F42)+D31^-1)^-1)*C31*F31- D53)</f>
        <v>14.022346368715063</v>
      </c>
      <c r="D148" s="59"/>
      <c r="E148" s="59">
        <f>IF(B53="",0,(($D$19*F53)-F53))</f>
        <v>-157600</v>
      </c>
      <c r="F148" s="59"/>
      <c r="G148" s="59" t="str">
        <f t="shared" si="10"/>
        <v/>
      </c>
      <c r="H148" s="57"/>
      <c r="I148" s="57"/>
      <c r="J148" s="57"/>
      <c r="K148" s="57"/>
    </row>
    <row r="149" spans="1:11" x14ac:dyDescent="0.3">
      <c r="A149" s="59">
        <v>8</v>
      </c>
      <c r="B149" s="59"/>
      <c r="C149" s="59">
        <f>IF(B54="",0,((((-C148+D54)/(C32*F32))^-1-D32^-1)*F43*1000))</f>
        <v>142.99013314312884</v>
      </c>
      <c r="D149" s="59">
        <f>IF(C149=0,"",C149)</f>
        <v>142.99013314312884</v>
      </c>
      <c r="E149" s="59">
        <f>IF(B54="",0,(C149/B54)*F54- F54)</f>
        <v>185232.61625077436</v>
      </c>
      <c r="F149" s="59">
        <f>IF(E149=0,0,(E148+E149))</f>
        <v>27632.616250774357</v>
      </c>
      <c r="G149" s="59" t="str">
        <f t="shared" si="10"/>
        <v/>
      </c>
      <c r="H149" s="57"/>
      <c r="I149" s="57"/>
      <c r="J149" s="57"/>
      <c r="K149" s="57"/>
    </row>
    <row r="150" spans="1:11" x14ac:dyDescent="0.3">
      <c r="A150" s="59"/>
      <c r="B150" s="59"/>
      <c r="C150" s="59"/>
      <c r="D150" s="59"/>
      <c r="E150" s="59"/>
      <c r="F150" s="59"/>
      <c r="G150" s="59" t="str">
        <f t="shared" si="10"/>
        <v/>
      </c>
      <c r="H150" s="57"/>
      <c r="I150" s="57"/>
      <c r="J150" s="57"/>
      <c r="K150" s="57"/>
    </row>
    <row r="151" spans="1:11" x14ac:dyDescent="0.3">
      <c r="A151" s="59">
        <v>2</v>
      </c>
      <c r="B151" s="59">
        <f>$B$88</f>
        <v>2268544.2800000003</v>
      </c>
      <c r="C151" s="59">
        <f>IF(B151="",0,(((($D$19*0.001*B48)/F37)+D26^-1)^-1)*C26*F26- D48)</f>
        <v>17.383605942728622</v>
      </c>
      <c r="D151" s="59"/>
      <c r="E151" s="59">
        <f>IF(B48="",0,(($D$19*F48)-F48))</f>
        <v>-197264.71999999974</v>
      </c>
      <c r="F151" s="59"/>
      <c r="G151" s="59" t="str">
        <f t="shared" si="10"/>
        <v/>
      </c>
      <c r="H151" s="57"/>
      <c r="I151" s="57"/>
      <c r="J151" s="57"/>
      <c r="K151" s="57"/>
    </row>
    <row r="152" spans="1:11" x14ac:dyDescent="0.3">
      <c r="A152" s="59">
        <v>1</v>
      </c>
      <c r="B152" s="59"/>
      <c r="C152" s="59">
        <f>IF(B47="",0,((((-C151+$D$47)/($C$25*$F$25))^-1-$D$25^-1)*$F$36*1000))</f>
        <v>443.94268425076848</v>
      </c>
      <c r="D152" s="59">
        <f>IF(C152=0,"",C152)</f>
        <v>443.94268425076848</v>
      </c>
      <c r="E152" s="59">
        <f>IF($B$47="",0,(C152/$B$47)*$F$47-F$47)</f>
        <v>245880.38209491316</v>
      </c>
      <c r="F152" s="59">
        <f>IF(E151=0,0,(E151+E152))</f>
        <v>48615.662094913423</v>
      </c>
      <c r="G152" s="59" t="str">
        <f t="shared" si="10"/>
        <v/>
      </c>
      <c r="H152" s="57"/>
      <c r="I152" s="57"/>
      <c r="J152" s="57"/>
      <c r="K152" s="57"/>
    </row>
    <row r="153" spans="1:11" x14ac:dyDescent="0.3">
      <c r="A153" s="59"/>
      <c r="B153" s="59"/>
      <c r="C153" s="59"/>
      <c r="D153" s="59"/>
      <c r="E153" s="59"/>
      <c r="F153" s="59"/>
      <c r="G153" s="59" t="str">
        <f t="shared" si="10"/>
        <v/>
      </c>
      <c r="H153" s="57"/>
      <c r="I153" s="57"/>
      <c r="J153" s="57"/>
      <c r="K153" s="57"/>
    </row>
    <row r="154" spans="1:11" x14ac:dyDescent="0.3">
      <c r="A154" s="59">
        <v>3</v>
      </c>
      <c r="B154" s="59">
        <f>$B$106</f>
        <v>924108.72000000009</v>
      </c>
      <c r="C154" s="59">
        <f>IF(B154="",0,(((($D$19*0.001*B49)/F38)+D27^-1)^-1)*C27*F27- D49)</f>
        <v>7.5304727101261477</v>
      </c>
      <c r="D154" s="59"/>
      <c r="E154" s="59">
        <f>IF(B49="",0,(($D$19*F49)-F49))</f>
        <v>-80357.279999999912</v>
      </c>
      <c r="F154" s="59"/>
      <c r="G154" s="59" t="str">
        <f t="shared" si="10"/>
        <v/>
      </c>
      <c r="H154" s="57"/>
      <c r="I154" s="57"/>
      <c r="J154" s="57"/>
      <c r="K154" s="57"/>
    </row>
    <row r="155" spans="1:11" x14ac:dyDescent="0.3">
      <c r="A155" s="59">
        <v>1</v>
      </c>
      <c r="B155" s="59"/>
      <c r="C155" s="59">
        <f>IF(B47="",0,((((-C154+$D$47)/($C$25*$F$25))^-1-$D$25^-1)*$F$36*1000))</f>
        <v>404.24754662710353</v>
      </c>
      <c r="D155" s="59">
        <f>IF(C155=0,"",C155)</f>
        <v>404.24754662710353</v>
      </c>
      <c r="E155" s="59">
        <f>IF($B$47="",0,(C155/$B$47)*$F$47-F$47)</f>
        <v>97869.185445708456</v>
      </c>
      <c r="F155" s="59">
        <f>IF(E154=0,0,(E154+E155))</f>
        <v>17511.905445708544</v>
      </c>
      <c r="G155" s="59" t="str">
        <f t="shared" si="10"/>
        <v/>
      </c>
      <c r="H155" s="57"/>
      <c r="I155" s="57"/>
      <c r="J155" s="57"/>
      <c r="K155" s="57"/>
    </row>
    <row r="156" spans="1:11" x14ac:dyDescent="0.3">
      <c r="A156" s="59"/>
      <c r="B156" s="59"/>
      <c r="C156" s="59"/>
      <c r="D156" s="59"/>
      <c r="E156" s="59"/>
      <c r="F156" s="59"/>
      <c r="G156" s="59" t="str">
        <f t="shared" si="10"/>
        <v/>
      </c>
      <c r="H156" s="57"/>
      <c r="I156" s="57"/>
      <c r="J156" s="57"/>
      <c r="K156" s="57"/>
    </row>
    <row r="157" spans="1:11" x14ac:dyDescent="0.3">
      <c r="A157" s="59">
        <v>4</v>
      </c>
      <c r="B157" s="59">
        <f>$B$121</f>
        <v>539588.28</v>
      </c>
      <c r="C157" s="59">
        <f>IF(B157="",0,(((($D$19*0.001*B50)/F39)+D28^-1)^-1)*C28*F28- D50)</f>
        <v>4.5270935312549767</v>
      </c>
      <c r="D157" s="59"/>
      <c r="E157" s="59">
        <f>IF(B50="",0,(($D$19*F50)-F50))</f>
        <v>-46920.719999999972</v>
      </c>
      <c r="F157" s="59"/>
      <c r="G157" s="59" t="str">
        <f t="shared" si="10"/>
        <v/>
      </c>
      <c r="H157" s="57"/>
      <c r="I157" s="57"/>
      <c r="J157" s="57"/>
      <c r="K157" s="57"/>
    </row>
    <row r="158" spans="1:11" x14ac:dyDescent="0.3">
      <c r="A158" s="59">
        <v>1</v>
      </c>
      <c r="B158" s="59"/>
      <c r="C158" s="59">
        <f>IF(B47="",0,((((-C157+$D$47)/($C$25*$F$25))^-1-$D$25^-1)*$F$36*1000))</f>
        <v>393.4284978190185</v>
      </c>
      <c r="D158" s="59">
        <f>IF(C158=0,"",C158)</f>
        <v>393.4284978190185</v>
      </c>
      <c r="E158" s="59">
        <f>IF($B$47="",0,(C158/$B$47)*$F$47-F$47)</f>
        <v>57528.215328095481</v>
      </c>
      <c r="F158" s="59">
        <f>IF(E157=0,0,(E157+E158))</f>
        <v>10607.495328095509</v>
      </c>
      <c r="G158" s="59" t="str">
        <f t="shared" si="10"/>
        <v/>
      </c>
      <c r="H158" s="57"/>
      <c r="I158" s="57"/>
      <c r="J158" s="57"/>
      <c r="K158" s="57"/>
    </row>
    <row r="159" spans="1:11" x14ac:dyDescent="0.3">
      <c r="A159" s="59"/>
      <c r="B159" s="59"/>
      <c r="C159" s="59"/>
      <c r="D159" s="59"/>
      <c r="E159" s="59"/>
      <c r="F159" s="59"/>
      <c r="G159" s="59" t="str">
        <f t="shared" si="10"/>
        <v/>
      </c>
      <c r="H159" s="57"/>
      <c r="I159" s="57"/>
      <c r="J159" s="57"/>
      <c r="K159" s="57"/>
    </row>
    <row r="160" spans="1:11" x14ac:dyDescent="0.3">
      <c r="A160" s="59">
        <v>5</v>
      </c>
      <c r="B160" s="59">
        <f>$B$133</f>
        <v>201930.80000000002</v>
      </c>
      <c r="C160" s="59">
        <f>IF(B160="",0,(((($D$19*0.001*B51)/F40)+D29^-1)^-1)*C29*F29- D51)</f>
        <v>1.896088019559901</v>
      </c>
      <c r="D160" s="59"/>
      <c r="E160" s="59">
        <f>IF(B51="",0,(($D$19*F51)-F51))</f>
        <v>-17559.199999999983</v>
      </c>
      <c r="F160" s="59"/>
      <c r="G160" s="59" t="str">
        <f t="shared" si="10"/>
        <v/>
      </c>
      <c r="H160" s="57"/>
      <c r="I160" s="57"/>
      <c r="J160" s="57"/>
      <c r="K160" s="57"/>
    </row>
    <row r="161" spans="1:11" x14ac:dyDescent="0.3">
      <c r="A161" s="59">
        <v>1</v>
      </c>
      <c r="B161" s="59"/>
      <c r="C161" s="59">
        <f>IF(B47="",0,((((-C160+$D$47)/($C$25*$F$25))^-1-$D$25^-1)*$F$36*1000))</f>
        <v>384.38113813449957</v>
      </c>
      <c r="D161" s="59">
        <f>IF(C161=0,"",C161)</f>
        <v>384.38113813449957</v>
      </c>
      <c r="E161" s="59">
        <f>IF($B$47="",0,(C161/$B$47)*$F$47-F$47)</f>
        <v>23793.339633317897</v>
      </c>
      <c r="F161" s="59">
        <f>IF(E160=0,0,(E160+E161))</f>
        <v>6234.1396333179146</v>
      </c>
      <c r="G161" s="59" t="str">
        <f t="shared" si="10"/>
        <v/>
      </c>
      <c r="H161" s="57"/>
      <c r="I161" s="57"/>
      <c r="J161" s="57"/>
      <c r="K161" s="57"/>
    </row>
    <row r="162" spans="1:11" x14ac:dyDescent="0.3">
      <c r="A162" s="59"/>
      <c r="B162" s="59"/>
      <c r="C162" s="59"/>
      <c r="D162" s="59"/>
      <c r="E162" s="59"/>
      <c r="F162" s="59"/>
      <c r="G162" s="59" t="str">
        <f t="shared" si="10"/>
        <v/>
      </c>
      <c r="H162" s="57"/>
      <c r="I162" s="57"/>
      <c r="J162" s="57"/>
      <c r="K162" s="57"/>
    </row>
    <row r="163" spans="1:11" x14ac:dyDescent="0.3">
      <c r="A163" s="59">
        <v>6</v>
      </c>
      <c r="B163" s="59">
        <f>$B$142</f>
        <v>997406.96000000008</v>
      </c>
      <c r="C163" s="59">
        <f>IF(B163="",0,(((($D$19*0.001*B52)/F41)+D30^-1)^-1)*C30*F30- D52)</f>
        <v>6.9547635366689491</v>
      </c>
      <c r="D163" s="59"/>
      <c r="E163" s="59">
        <f>IF(B52="",0,(($D$19*F52)-F52))</f>
        <v>-86731.039999999921</v>
      </c>
      <c r="F163" s="59"/>
      <c r="G163" s="59" t="str">
        <f t="shared" si="10"/>
        <v/>
      </c>
      <c r="H163" s="57"/>
      <c r="I163" s="57"/>
      <c r="J163" s="57"/>
      <c r="K163" s="57"/>
    </row>
    <row r="164" spans="1:11" x14ac:dyDescent="0.3">
      <c r="A164" s="59">
        <v>1</v>
      </c>
      <c r="B164" s="59"/>
      <c r="C164" s="59">
        <f>IF(B47="",0,((((-C163+$D$47)/($C$25*$F$25))^-1-$D$25^-1)*$F$36*1000))</f>
        <v>402.13138193033058</v>
      </c>
      <c r="D164" s="59">
        <f>IF(C164=0,"",C164)</f>
        <v>402.13138193033058</v>
      </c>
      <c r="E164" s="59">
        <f>IF($B$47="",0,(C164/$B$47)*$F$47-F$47)</f>
        <v>89978.64549984294</v>
      </c>
      <c r="F164" s="59">
        <f>IF(E163=0,0,(E163+E164))</f>
        <v>3247.6054998430191</v>
      </c>
      <c r="G164" s="59" t="str">
        <f t="shared" si="10"/>
        <v/>
      </c>
      <c r="H164" s="57"/>
      <c r="I164" s="57"/>
      <c r="J164" s="57"/>
      <c r="K164" s="57"/>
    </row>
    <row r="165" spans="1:11" x14ac:dyDescent="0.3">
      <c r="A165" s="59"/>
      <c r="B165" s="59"/>
      <c r="C165" s="59"/>
      <c r="D165" s="59"/>
      <c r="E165" s="59"/>
      <c r="F165" s="59"/>
      <c r="G165" s="59" t="str">
        <f t="shared" si="10"/>
        <v/>
      </c>
      <c r="H165" s="57"/>
      <c r="I165" s="57"/>
      <c r="J165" s="57"/>
      <c r="K165" s="57"/>
    </row>
    <row r="166" spans="1:11" x14ac:dyDescent="0.3">
      <c r="A166" s="59">
        <v>7</v>
      </c>
      <c r="B166" s="59">
        <f>$B$148</f>
        <v>1812400</v>
      </c>
      <c r="C166" s="59">
        <f>IF(B166="",0,(((($D$19*0.001*B53)/F42)+D31^-1)^-1)*C31*F31- D53)</f>
        <v>14.022346368715063</v>
      </c>
      <c r="D166" s="59"/>
      <c r="E166" s="59">
        <f>IF(B53="",0,(($D$19*F53)-F53))</f>
        <v>-157600</v>
      </c>
      <c r="F166" s="59"/>
      <c r="G166" s="59" t="str">
        <f t="shared" si="10"/>
        <v/>
      </c>
      <c r="H166" s="57"/>
      <c r="I166" s="57"/>
      <c r="J166" s="57"/>
      <c r="K166" s="57"/>
    </row>
    <row r="167" spans="1:11" x14ac:dyDescent="0.3">
      <c r="A167" s="59">
        <v>1</v>
      </c>
      <c r="B167" s="59"/>
      <c r="C167" s="59">
        <f>IF(B47="",0,((((-C166+$D$47)/($C$25*$F$25))^-1-$D$25^-1)*$F$36*1000))</f>
        <v>429.61617774230024</v>
      </c>
      <c r="D167" s="59">
        <f>IF(C167=0,"",C167)</f>
        <v>429.61617774230024</v>
      </c>
      <c r="E167" s="59">
        <f>IF($B$47="",0,(C167/$B$47)*$F$47-F$47)</f>
        <v>192461.16001727385</v>
      </c>
      <c r="F167" s="59">
        <f>IF(E166=0,0,(E166+E167))</f>
        <v>34861.160017273854</v>
      </c>
      <c r="G167" s="59" t="str">
        <f t="shared" si="10"/>
        <v/>
      </c>
      <c r="H167" s="57"/>
      <c r="I167" s="57"/>
      <c r="J167" s="57"/>
      <c r="K167" s="57"/>
    </row>
    <row r="168" spans="1:11" x14ac:dyDescent="0.3">
      <c r="A168" s="59"/>
      <c r="B168" s="59"/>
      <c r="C168" s="59"/>
      <c r="D168" s="59"/>
      <c r="E168" s="59"/>
      <c r="F168" s="59"/>
      <c r="G168" s="59" t="str">
        <f t="shared" si="10"/>
        <v/>
      </c>
      <c r="H168" s="57"/>
      <c r="I168" s="57"/>
      <c r="J168" s="57"/>
      <c r="K168" s="57"/>
    </row>
    <row r="169" spans="1:11" x14ac:dyDescent="0.3">
      <c r="A169" s="59">
        <v>8</v>
      </c>
      <c r="B169" s="59">
        <f>IF(B54="","",($D$19*F54))</f>
        <v>2046804.04</v>
      </c>
      <c r="C169" s="59">
        <f>IF(B169="",0,(((($D$19*0.001*B54)/F43)+D32^-1)^-1)*C32*F32- D54)</f>
        <v>16.184529727579985</v>
      </c>
      <c r="D169" s="59"/>
      <c r="E169" s="59">
        <f>IF(B54="",0,(($D$19*F54)-F54))</f>
        <v>-177982.95999999996</v>
      </c>
      <c r="F169" s="59"/>
      <c r="G169" s="59" t="str">
        <f t="shared" si="10"/>
        <v/>
      </c>
      <c r="H169" s="57"/>
      <c r="I169" s="57"/>
      <c r="J169" s="57"/>
      <c r="K169" s="57"/>
    </row>
    <row r="170" spans="1:11" x14ac:dyDescent="0.3">
      <c r="A170" s="59">
        <v>1</v>
      </c>
      <c r="B170" s="59"/>
      <c r="C170" s="59">
        <f>IF(B47="",0,((((-C169+$D$47)/($C$25*$F$25))^-1-$D$25^-1)*$F$36*1000))</f>
        <v>438.73130265465761</v>
      </c>
      <c r="D170" s="59">
        <f>IF(C170=0,"",C170)</f>
        <v>438.73130265465761</v>
      </c>
      <c r="E170" s="59">
        <f>IF($B$47="",0,(C170/$B$47)*$F$47-F$47)</f>
        <v>226448.71180952853</v>
      </c>
      <c r="F170" s="59">
        <f>IF(E169=0,0,(E169+E170))</f>
        <v>48465.751809528563</v>
      </c>
      <c r="G170" s="59" t="str">
        <f t="shared" si="10"/>
        <v/>
      </c>
      <c r="H170" s="57"/>
      <c r="I170" s="57"/>
      <c r="J170" s="57"/>
      <c r="K170" s="57"/>
    </row>
    <row r="171" spans="1:11" x14ac:dyDescent="0.3">
      <c r="A171" s="59"/>
      <c r="B171" s="59"/>
      <c r="C171" s="59"/>
      <c r="D171" s="59"/>
      <c r="E171" s="59"/>
      <c r="F171" s="59"/>
      <c r="G171" s="59" t="str">
        <f t="shared" si="10"/>
        <v/>
      </c>
      <c r="H171" s="57"/>
      <c r="I171" s="57"/>
      <c r="J171" s="57"/>
      <c r="K171" s="57"/>
    </row>
    <row r="172" spans="1:11" x14ac:dyDescent="0.3">
      <c r="A172" s="59">
        <v>3</v>
      </c>
      <c r="B172" s="59">
        <f>$B$106</f>
        <v>924108.72000000009</v>
      </c>
      <c r="C172" s="59">
        <f>$C$154</f>
        <v>7.5304727101261477</v>
      </c>
      <c r="D172" s="59"/>
      <c r="E172" s="59">
        <f>IF(B49="",0,(($D$19*F49)-F49))</f>
        <v>-80357.279999999912</v>
      </c>
      <c r="F172" s="59"/>
      <c r="G172" s="59" t="str">
        <f t="shared" si="10"/>
        <v/>
      </c>
      <c r="H172" s="57"/>
      <c r="I172" s="57"/>
      <c r="J172" s="57"/>
      <c r="K172" s="57"/>
    </row>
    <row r="173" spans="1:11" x14ac:dyDescent="0.3">
      <c r="A173" s="59">
        <v>2</v>
      </c>
      <c r="B173" s="59"/>
      <c r="C173" s="59">
        <f>IF(B48="",0,((((-C172+$D$48)/($C$26*$F$26))^-1-$D$26^-1)*$F$37*1000))</f>
        <v>276.0447305282068</v>
      </c>
      <c r="D173" s="59">
        <f>IF(C173=0,"",C173)</f>
        <v>276.0447305282068</v>
      </c>
      <c r="E173" s="59">
        <f>IF($B$48="",0,(C173/$B$48)*$F$48-$F$48)</f>
        <v>93114.236612883396</v>
      </c>
      <c r="F173" s="59">
        <f>IF(E172=0,0,(E172+E173))</f>
        <v>12756.956612883485</v>
      </c>
      <c r="G173" s="59" t="str">
        <f t="shared" si="10"/>
        <v/>
      </c>
      <c r="H173" s="57"/>
      <c r="I173" s="57"/>
      <c r="J173" s="57"/>
      <c r="K173" s="57"/>
    </row>
    <row r="174" spans="1:11" x14ac:dyDescent="0.3">
      <c r="A174" s="59"/>
      <c r="B174" s="59"/>
      <c r="C174" s="59"/>
      <c r="D174" s="59"/>
      <c r="E174" s="59"/>
      <c r="F174" s="59"/>
      <c r="G174" s="59" t="str">
        <f t="shared" si="10"/>
        <v/>
      </c>
      <c r="H174" s="57"/>
      <c r="I174" s="57"/>
      <c r="J174" s="57"/>
      <c r="K174" s="57"/>
    </row>
    <row r="175" spans="1:11" x14ac:dyDescent="0.3">
      <c r="A175" s="59">
        <v>4</v>
      </c>
      <c r="B175" s="59">
        <f>$B$124</f>
        <v>539588.28</v>
      </c>
      <c r="C175" s="59">
        <f>$C$157</f>
        <v>4.5270935312549767</v>
      </c>
      <c r="D175" s="59"/>
      <c r="E175" s="59">
        <f>IF(B50="",0,(($D$19*F50)-F50))</f>
        <v>-46920.719999999972</v>
      </c>
      <c r="F175" s="59"/>
      <c r="G175" s="59" t="str">
        <f t="shared" si="10"/>
        <v/>
      </c>
      <c r="H175" s="57"/>
      <c r="I175" s="57"/>
      <c r="J175" s="57"/>
      <c r="K175" s="57"/>
    </row>
    <row r="176" spans="1:11" x14ac:dyDescent="0.3">
      <c r="A176" s="59">
        <v>2</v>
      </c>
      <c r="B176" s="59"/>
      <c r="C176" s="59">
        <f>IF(B48="",0,((((-C175+$D$48)/($C$26*$F$26))^-1-$D$26^-1)*$F$37*1000))</f>
        <v>271.89831000997873</v>
      </c>
      <c r="D176" s="59">
        <f>IF(C176=0,"",C176)</f>
        <v>271.89831000997873</v>
      </c>
      <c r="E176" s="59">
        <f>IF($B$48="",0,(C176/$B$48)*$F$48-$F$48)</f>
        <v>54677.08987742709</v>
      </c>
      <c r="F176" s="59">
        <f>IF(E175=0,0,(E175+E176))</f>
        <v>7756.3698774271179</v>
      </c>
      <c r="G176" s="59" t="str">
        <f t="shared" si="10"/>
        <v/>
      </c>
      <c r="H176" s="57"/>
      <c r="I176" s="57"/>
      <c r="J176" s="57"/>
      <c r="K176" s="57"/>
    </row>
    <row r="177" spans="1:11" x14ac:dyDescent="0.3">
      <c r="A177" s="59"/>
      <c r="B177" s="59"/>
      <c r="C177" s="59"/>
      <c r="D177" s="59"/>
      <c r="E177" s="59"/>
      <c r="F177" s="59"/>
      <c r="G177" s="59" t="str">
        <f t="shared" si="10"/>
        <v/>
      </c>
      <c r="H177" s="57"/>
      <c r="I177" s="57"/>
      <c r="J177" s="57"/>
      <c r="K177" s="57"/>
    </row>
    <row r="178" spans="1:11" x14ac:dyDescent="0.3">
      <c r="A178" s="59">
        <v>5</v>
      </c>
      <c r="B178" s="59">
        <f>$B$160</f>
        <v>201930.80000000002</v>
      </c>
      <c r="C178" s="59">
        <f>$C$139</f>
        <v>1.896088019559901</v>
      </c>
      <c r="D178" s="59"/>
      <c r="E178" s="59">
        <f>IF(B51="",0,(($D$19*F51)-F51))</f>
        <v>-17559.199999999983</v>
      </c>
      <c r="F178" s="59"/>
      <c r="G178" s="59" t="str">
        <f t="shared" si="10"/>
        <v/>
      </c>
      <c r="H178" s="57"/>
      <c r="I178" s="57"/>
      <c r="J178" s="57"/>
      <c r="K178" s="57"/>
    </row>
    <row r="179" spans="1:11" x14ac:dyDescent="0.3">
      <c r="A179" s="59">
        <v>2</v>
      </c>
      <c r="B179" s="59"/>
      <c r="C179" s="59">
        <f>IF(B48="",0,((((-C178+$D$48)/($C$26*$F$26))^-1-$D$26^-1)*$F$37*1000))</f>
        <v>268.35649860872491</v>
      </c>
      <c r="D179" s="59">
        <f>IF(C179=0,"",C179)</f>
        <v>268.35649860872491</v>
      </c>
      <c r="E179" s="59">
        <f>IF($B$48="",0,(C179/$B$48)*$F$48-$F$48)</f>
        <v>21844.644653689116</v>
      </c>
      <c r="F179" s="59">
        <f>IF(E178=0,0,(E178+E179))</f>
        <v>4285.4446536891337</v>
      </c>
      <c r="G179" s="59" t="str">
        <f t="shared" si="10"/>
        <v/>
      </c>
      <c r="H179" s="57"/>
      <c r="I179" s="57"/>
      <c r="J179" s="57"/>
      <c r="K179" s="57"/>
    </row>
    <row r="180" spans="1:11" x14ac:dyDescent="0.3">
      <c r="A180" s="59"/>
      <c r="B180" s="59"/>
      <c r="C180" s="59"/>
      <c r="D180" s="59"/>
      <c r="E180" s="59"/>
      <c r="F180" s="59"/>
      <c r="G180" s="59" t="str">
        <f t="shared" si="10"/>
        <v/>
      </c>
      <c r="H180" s="57"/>
      <c r="I180" s="57"/>
      <c r="J180" s="57"/>
      <c r="K180" s="57"/>
    </row>
    <row r="181" spans="1:11" x14ac:dyDescent="0.3">
      <c r="A181" s="59">
        <v>6</v>
      </c>
      <c r="B181" s="59">
        <f>$B$163</f>
        <v>997406.96000000008</v>
      </c>
      <c r="C181" s="59">
        <f>$C$142</f>
        <v>6.9547635366689491</v>
      </c>
      <c r="D181" s="59"/>
      <c r="E181" s="59">
        <f>IF(B52="",0,(($D$19*F52)-F52))</f>
        <v>-86731.039999999921</v>
      </c>
      <c r="F181" s="59"/>
      <c r="G181" s="59" t="str">
        <f t="shared" si="10"/>
        <v/>
      </c>
      <c r="H181" s="57"/>
      <c r="I181" s="57"/>
      <c r="J181" s="57"/>
      <c r="K181" s="57"/>
    </row>
    <row r="182" spans="1:11" x14ac:dyDescent="0.3">
      <c r="A182" s="59">
        <v>2</v>
      </c>
      <c r="B182" s="59"/>
      <c r="C182" s="59">
        <f>IF(B48="",0,((((-C181+$D$48)/($C$26*$F$26))^-1-$D$26^-1)*$F$37*1000))</f>
        <v>275.24118581875831</v>
      </c>
      <c r="D182" s="59">
        <f>IF(C182=0,"",C182)</f>
        <v>275.24118581875831</v>
      </c>
      <c r="E182" s="59">
        <f>IF($B$48="",0,(C182/$B$48)*$F$48-$F$48)</f>
        <v>85665.41038558865</v>
      </c>
      <c r="F182" s="59">
        <f>IF(E181=0,0,(E181+E182))</f>
        <v>-1065.6296144112712</v>
      </c>
      <c r="G182" s="59">
        <f t="shared" si="10"/>
        <v>-1065.6296144112712</v>
      </c>
      <c r="H182" s="57"/>
      <c r="I182" s="57"/>
      <c r="J182" s="57"/>
      <c r="K182" s="57"/>
    </row>
    <row r="183" spans="1:11" x14ac:dyDescent="0.3">
      <c r="A183" s="59"/>
      <c r="B183" s="59"/>
      <c r="C183" s="59"/>
      <c r="D183" s="59"/>
      <c r="E183" s="59"/>
      <c r="F183" s="59"/>
      <c r="G183" s="59" t="str">
        <f t="shared" si="10"/>
        <v/>
      </c>
      <c r="H183" s="57"/>
      <c r="I183" s="57"/>
      <c r="J183" s="57"/>
      <c r="K183" s="57"/>
    </row>
    <row r="184" spans="1:11" x14ac:dyDescent="0.3">
      <c r="A184" s="59">
        <v>7</v>
      </c>
      <c r="B184" s="59">
        <f>$B$166</f>
        <v>1812400</v>
      </c>
      <c r="C184" s="59">
        <f>$C$166</f>
        <v>14.022346368715063</v>
      </c>
      <c r="D184" s="59"/>
      <c r="E184" s="59">
        <f>IF(B53="",0,(($D$19*F53)-F53))</f>
        <v>-157600</v>
      </c>
      <c r="F184" s="59"/>
      <c r="G184" s="59" t="str">
        <f t="shared" si="10"/>
        <v/>
      </c>
      <c r="H184" s="57"/>
      <c r="I184" s="57"/>
      <c r="J184" s="57"/>
      <c r="K184" s="57"/>
    </row>
    <row r="185" spans="1:11" x14ac:dyDescent="0.3">
      <c r="A185" s="59">
        <v>2</v>
      </c>
      <c r="B185" s="59"/>
      <c r="C185" s="59">
        <f>IF(B48="",0,((((-C184+$D$48)/($C$26*$F$26))^-1-$D$26^-1)*$F$37*1000))</f>
        <v>285.40502894896917</v>
      </c>
      <c r="D185" s="59">
        <f>IF(C185=0,"",C185)</f>
        <v>285.40502894896917</v>
      </c>
      <c r="E185" s="59">
        <f>IF($B$48="",0,(C185/$B$48)*$F$48-$F$48)</f>
        <v>179883.81589334086</v>
      </c>
      <c r="F185" s="59">
        <f>IF(E184=0,0,(E184+E185))</f>
        <v>22283.815893340856</v>
      </c>
      <c r="G185" s="59" t="str">
        <f t="shared" si="10"/>
        <v/>
      </c>
      <c r="H185" s="57"/>
      <c r="I185" s="57"/>
      <c r="J185" s="57"/>
      <c r="K185" s="57"/>
    </row>
    <row r="186" spans="1:11" x14ac:dyDescent="0.3">
      <c r="A186" s="59"/>
      <c r="B186" s="59"/>
      <c r="C186" s="59"/>
      <c r="D186" s="59"/>
      <c r="E186" s="59"/>
      <c r="F186" s="59"/>
      <c r="G186" s="59" t="str">
        <f t="shared" si="10"/>
        <v/>
      </c>
      <c r="H186" s="57"/>
      <c r="I186" s="57"/>
      <c r="J186" s="57"/>
      <c r="K186" s="57"/>
    </row>
    <row r="187" spans="1:11" x14ac:dyDescent="0.3">
      <c r="A187" s="59">
        <v>8</v>
      </c>
      <c r="B187" s="59">
        <f>$B$169</f>
        <v>2046804.04</v>
      </c>
      <c r="C187" s="59">
        <f>$C$169</f>
        <v>16.184529727579985</v>
      </c>
      <c r="D187" s="59"/>
      <c r="E187" s="59">
        <f>IF(B54="",0,(($D$19*F54)-F54))</f>
        <v>-177982.95999999996</v>
      </c>
      <c r="F187" s="59"/>
      <c r="G187" s="59" t="str">
        <f t="shared" si="10"/>
        <v/>
      </c>
      <c r="H187" s="57"/>
      <c r="I187" s="57"/>
      <c r="J187" s="57"/>
      <c r="K187" s="57"/>
    </row>
    <row r="188" spans="1:11" x14ac:dyDescent="0.3">
      <c r="A188" s="59">
        <v>2</v>
      </c>
      <c r="B188" s="59"/>
      <c r="C188" s="59">
        <f>IF(B48="",0,((((-C187+$D$48)/($C$26*$F$26))^-1-$D$26^-1)*$F$37*1000))</f>
        <v>288.64994190036896</v>
      </c>
      <c r="D188" s="59">
        <f>IF(C188=0,"",C188)</f>
        <v>288.64994190036896</v>
      </c>
      <c r="E188" s="59">
        <f>IF($B$48="",0,(C188/$B$48)*$F$48-$F$48)</f>
        <v>209964.02476468775</v>
      </c>
      <c r="F188" s="59">
        <f>IF(E187=0,0,(E187+E188))</f>
        <v>31981.064764687791</v>
      </c>
      <c r="G188" s="59" t="str">
        <f t="shared" si="10"/>
        <v/>
      </c>
      <c r="H188" s="57"/>
      <c r="I188" s="57"/>
      <c r="J188" s="57"/>
      <c r="K188" s="57"/>
    </row>
    <row r="189" spans="1:11" x14ac:dyDescent="0.3">
      <c r="A189" s="59"/>
      <c r="B189" s="59"/>
      <c r="C189" s="59"/>
      <c r="D189" s="59"/>
      <c r="E189" s="59"/>
      <c r="F189" s="59"/>
      <c r="G189" s="59" t="str">
        <f t="shared" si="10"/>
        <v/>
      </c>
      <c r="H189" s="57"/>
      <c r="I189" s="57"/>
      <c r="J189" s="57"/>
      <c r="K189" s="57"/>
    </row>
    <row r="190" spans="1:11" x14ac:dyDescent="0.3">
      <c r="A190" s="59">
        <v>4</v>
      </c>
      <c r="B190" s="59">
        <f>$B$175</f>
        <v>539588.28</v>
      </c>
      <c r="C190" s="59">
        <f>$C$175</f>
        <v>4.5270935312549767</v>
      </c>
      <c r="D190" s="59"/>
      <c r="E190" s="59">
        <f>IF(B50="",0,(($D$19*F50)-F50))</f>
        <v>-46920.719999999972</v>
      </c>
      <c r="F190" s="59"/>
      <c r="G190" s="59" t="str">
        <f t="shared" si="10"/>
        <v/>
      </c>
      <c r="H190" s="57"/>
      <c r="I190" s="57"/>
      <c r="J190" s="57"/>
      <c r="K190" s="57"/>
    </row>
    <row r="191" spans="1:11" x14ac:dyDescent="0.3">
      <c r="A191" s="59">
        <v>3</v>
      </c>
      <c r="B191" s="59"/>
      <c r="C191" s="59">
        <f>IF(B49="",0,((((-C190+$D$49)/($C$27*$F$27))^-1-$D$27^-1)*$F$38*1000))</f>
        <v>283.97258844131443</v>
      </c>
      <c r="D191" s="59">
        <f>IF(C191=0,"",C191)</f>
        <v>283.97258844131443</v>
      </c>
      <c r="E191" s="59">
        <f>IF($B$49="",0,(C191/$B$49)*$F$49-$F$49)</f>
        <v>51981.444523308659</v>
      </c>
      <c r="F191" s="59">
        <f>IF(E190=0,0,(E190+E191))</f>
        <v>5060.7245233086869</v>
      </c>
      <c r="G191" s="59" t="str">
        <f t="shared" si="10"/>
        <v/>
      </c>
      <c r="H191" s="57"/>
      <c r="I191" s="57"/>
      <c r="J191" s="57"/>
      <c r="K191" s="57"/>
    </row>
    <row r="192" spans="1:11" x14ac:dyDescent="0.3">
      <c r="A192" s="59"/>
      <c r="B192" s="59"/>
      <c r="C192" s="59"/>
      <c r="D192" s="59"/>
      <c r="E192" s="59"/>
      <c r="F192" s="59"/>
      <c r="G192" s="59" t="str">
        <f t="shared" si="10"/>
        <v/>
      </c>
      <c r="H192" s="57"/>
      <c r="I192" s="57"/>
      <c r="J192" s="57"/>
      <c r="K192" s="57"/>
    </row>
    <row r="193" spans="1:11" x14ac:dyDescent="0.3">
      <c r="A193" s="59">
        <v>5</v>
      </c>
      <c r="B193" s="59">
        <f>$B$178</f>
        <v>201930.80000000002</v>
      </c>
      <c r="C193" s="59">
        <f>$C$178</f>
        <v>1.896088019559901</v>
      </c>
      <c r="D193" s="59"/>
      <c r="E193" s="59">
        <f>IF(B51="",0,(($D$19*F51)-F51))</f>
        <v>-17559.199999999983</v>
      </c>
      <c r="F193" s="59"/>
      <c r="G193" s="59" t="str">
        <f t="shared" si="10"/>
        <v/>
      </c>
      <c r="H193" s="57"/>
      <c r="I193" s="57"/>
      <c r="J193" s="57"/>
      <c r="K193" s="57"/>
    </row>
    <row r="194" spans="1:11" x14ac:dyDescent="0.3">
      <c r="A194" s="59">
        <v>3</v>
      </c>
      <c r="B194" s="59"/>
      <c r="C194" s="59">
        <f>IF(B49="",0,((((-C193+$D$49)/($C$27*$F$27))^-1-$D$27^-1)*$F$38*1000))</f>
        <v>275.40737345930376</v>
      </c>
      <c r="D194" s="59">
        <f>IF(C194=0,"",C194)</f>
        <v>275.40737345930376</v>
      </c>
      <c r="E194" s="59">
        <f>IF($B$49="",0,(C194/$B$49)*$F$49-$F$49)</f>
        <v>20116.751071011066</v>
      </c>
      <c r="F194" s="59">
        <f>IF(E193=0,0,(E193+E194))</f>
        <v>2557.551071011083</v>
      </c>
      <c r="G194" s="59" t="str">
        <f t="shared" si="10"/>
        <v/>
      </c>
      <c r="H194" s="57"/>
      <c r="I194" s="57"/>
      <c r="J194" s="57"/>
      <c r="K194" s="57"/>
    </row>
    <row r="195" spans="1:11" x14ac:dyDescent="0.3">
      <c r="A195" s="59"/>
      <c r="B195" s="59"/>
      <c r="C195" s="59"/>
      <c r="D195" s="59"/>
      <c r="E195" s="59"/>
      <c r="F195" s="59"/>
      <c r="G195" s="59" t="str">
        <f t="shared" si="10"/>
        <v/>
      </c>
      <c r="H195" s="57"/>
      <c r="I195" s="57"/>
      <c r="J195" s="57"/>
      <c r="K195" s="57"/>
    </row>
    <row r="196" spans="1:11" x14ac:dyDescent="0.3">
      <c r="A196" s="59">
        <v>6</v>
      </c>
      <c r="B196" s="59">
        <f>$B$181</f>
        <v>997406.96000000008</v>
      </c>
      <c r="C196" s="59">
        <f>$C$142</f>
        <v>6.9547635366689491</v>
      </c>
      <c r="D196" s="59"/>
      <c r="E196" s="59">
        <f>IF(B52="",0,(($D$19*F52)-F52))</f>
        <v>-86731.039999999921</v>
      </c>
      <c r="F196" s="59"/>
      <c r="G196" s="59" t="str">
        <f t="shared" ref="G196:G236" si="11">IF(F196&lt;0,F196,"")</f>
        <v/>
      </c>
      <c r="H196" s="57"/>
      <c r="I196" s="57"/>
      <c r="J196" s="57"/>
      <c r="K196" s="57"/>
    </row>
    <row r="197" spans="1:11" x14ac:dyDescent="0.3">
      <c r="A197" s="59">
        <v>3</v>
      </c>
      <c r="B197" s="59"/>
      <c r="C197" s="59">
        <f>IF(B49="",0,((((-C196+$D$49)/($C$27*$F$27))^-1-$D$27^-1)*$F$38*1000))</f>
        <v>292.34048602345564</v>
      </c>
      <c r="D197" s="59">
        <f>IF(C197=0,"",C197)</f>
        <v>292.34048602345564</v>
      </c>
      <c r="E197" s="59">
        <f>IF($B$49="",0,(C197/$B$49)*$F$49-$F$49)</f>
        <v>83112.069014949491</v>
      </c>
      <c r="F197" s="59">
        <f>IF(E196=0,0,(E196+E197))</f>
        <v>-3618.9709850504296</v>
      </c>
      <c r="G197" s="59">
        <f t="shared" si="11"/>
        <v>-3618.9709850504296</v>
      </c>
      <c r="H197" s="57"/>
      <c r="I197" s="57"/>
      <c r="J197" s="57"/>
      <c r="K197" s="57"/>
    </row>
    <row r="198" spans="1:11" x14ac:dyDescent="0.3">
      <c r="A198" s="59"/>
      <c r="B198" s="59"/>
      <c r="C198" s="59"/>
      <c r="D198" s="59"/>
      <c r="E198" s="59"/>
      <c r="F198" s="59"/>
      <c r="G198" s="59" t="str">
        <f t="shared" si="11"/>
        <v/>
      </c>
      <c r="H198" s="57"/>
      <c r="I198" s="57"/>
      <c r="J198" s="57"/>
      <c r="K198" s="57"/>
    </row>
    <row r="199" spans="1:11" x14ac:dyDescent="0.3">
      <c r="A199" s="59">
        <v>7</v>
      </c>
      <c r="B199" s="59">
        <f>$B$184</f>
        <v>1812400</v>
      </c>
      <c r="C199" s="59">
        <f>$C$166</f>
        <v>14.022346368715063</v>
      </c>
      <c r="D199" s="59"/>
      <c r="E199" s="59">
        <f>IF(B53="",0,(($D$19*F53)-F53))</f>
        <v>-157600</v>
      </c>
      <c r="F199" s="59"/>
      <c r="G199" s="59" t="str">
        <f t="shared" si="11"/>
        <v/>
      </c>
      <c r="H199" s="57"/>
      <c r="I199" s="57"/>
      <c r="J199" s="57"/>
      <c r="K199" s="57"/>
    </row>
    <row r="200" spans="1:11" x14ac:dyDescent="0.3">
      <c r="A200" s="59">
        <v>3</v>
      </c>
      <c r="B200" s="59"/>
      <c r="C200" s="59">
        <f>IF(B49="",0,((((-C199+$D$49)/($C$27*$F$27))^-1-$D$27^-1)*$F$38*1000))</f>
        <v>319.63049499132109</v>
      </c>
      <c r="D200" s="59">
        <f>IF(C200=0,"",C200)</f>
        <v>319.63049499132109</v>
      </c>
      <c r="E200" s="59">
        <f>IF($B$49="",0,(C200/$B$49)*$F$49-$F$49)</f>
        <v>184637.57326649013</v>
      </c>
      <c r="F200" s="59">
        <f>IF(E199=0,0,(E199+E200))</f>
        <v>27037.57326649013</v>
      </c>
      <c r="G200" s="59" t="str">
        <f t="shared" si="11"/>
        <v/>
      </c>
      <c r="H200" s="57"/>
      <c r="I200" s="57"/>
      <c r="J200" s="57"/>
      <c r="K200" s="57"/>
    </row>
    <row r="201" spans="1:11" x14ac:dyDescent="0.3">
      <c r="A201" s="59"/>
      <c r="B201" s="59"/>
      <c r="C201" s="59"/>
      <c r="D201" s="59"/>
      <c r="E201" s="59"/>
      <c r="F201" s="59"/>
      <c r="G201" s="59" t="str">
        <f t="shared" si="11"/>
        <v/>
      </c>
      <c r="H201" s="57"/>
      <c r="I201" s="57"/>
      <c r="J201" s="57"/>
      <c r="K201" s="57"/>
    </row>
    <row r="202" spans="1:11" x14ac:dyDescent="0.3">
      <c r="A202" s="59">
        <v>8</v>
      </c>
      <c r="B202" s="59">
        <f>$B$169</f>
        <v>2046804.04</v>
      </c>
      <c r="C202" s="59">
        <f>$C$187</f>
        <v>16.184529727579985</v>
      </c>
      <c r="D202" s="59"/>
      <c r="E202" s="59">
        <f>IF(B54="",0,(($D$19*F54)-F54))</f>
        <v>-177982.95999999996</v>
      </c>
      <c r="F202" s="59"/>
      <c r="G202" s="59" t="str">
        <f t="shared" si="11"/>
        <v/>
      </c>
      <c r="H202" s="57"/>
      <c r="I202" s="57"/>
      <c r="J202" s="57"/>
      <c r="K202" s="57"/>
    </row>
    <row r="203" spans="1:11" x14ac:dyDescent="0.3">
      <c r="A203" s="59">
        <v>3</v>
      </c>
      <c r="B203" s="59"/>
      <c r="C203" s="59">
        <f>IF(B49="",0,((((-C202+$D$49)/($C$27*$F$27))^-1-$D$27^-1)*$F$38*1000))</f>
        <v>328.98247200050156</v>
      </c>
      <c r="D203" s="59">
        <f>IF(C203=0,"",C203)</f>
        <v>328.98247200050156</v>
      </c>
      <c r="E203" s="59">
        <f>IF($B$49="",0,(C203/$B$49)*$F$49-$F$49)</f>
        <v>219429.21377946576</v>
      </c>
      <c r="F203" s="59">
        <f>IF(E202=0,0,(E202+E203))</f>
        <v>41446.253779465798</v>
      </c>
      <c r="G203" s="59" t="str">
        <f t="shared" si="11"/>
        <v/>
      </c>
      <c r="H203" s="57"/>
      <c r="I203" s="57"/>
      <c r="J203" s="57"/>
      <c r="K203" s="57"/>
    </row>
    <row r="204" spans="1:11" x14ac:dyDescent="0.3">
      <c r="A204" s="59"/>
      <c r="B204" s="59"/>
      <c r="C204" s="59"/>
      <c r="D204" s="59"/>
      <c r="E204" s="59"/>
      <c r="F204" s="59"/>
      <c r="G204" s="59" t="str">
        <f t="shared" si="11"/>
        <v/>
      </c>
      <c r="H204" s="57"/>
      <c r="I204" s="57"/>
      <c r="J204" s="57"/>
      <c r="K204" s="57"/>
    </row>
    <row r="205" spans="1:11" x14ac:dyDescent="0.3">
      <c r="A205" s="59">
        <v>5</v>
      </c>
      <c r="B205" s="59">
        <f>$B$193</f>
        <v>201930.80000000002</v>
      </c>
      <c r="C205" s="59">
        <f>$C$178</f>
        <v>1.896088019559901</v>
      </c>
      <c r="D205" s="59"/>
      <c r="E205" s="59">
        <f>IF(B51="",0,(($D$19*F51)-F51))</f>
        <v>-17559.199999999983</v>
      </c>
      <c r="F205" s="59"/>
      <c r="G205" s="59" t="str">
        <f t="shared" si="11"/>
        <v/>
      </c>
      <c r="H205" s="57"/>
      <c r="I205" s="57"/>
      <c r="J205" s="57"/>
      <c r="K205" s="57"/>
    </row>
    <row r="206" spans="1:11" x14ac:dyDescent="0.3">
      <c r="A206" s="59">
        <v>4</v>
      </c>
      <c r="B206" s="59"/>
      <c r="C206" s="59">
        <f>IF(B50="",0,((((-C205+D50)/(C28*F28))^-1-D28^-1)*F39*1000))</f>
        <v>104.82609030167964</v>
      </c>
      <c r="D206" s="59">
        <f>IF(C206=0,"",C206)</f>
        <v>104.82609030167964</v>
      </c>
      <c r="E206" s="59">
        <f>IF($B$50="",0,(C206/$B$50)*$F$50-$F$50)</f>
        <v>22218.182146018138</v>
      </c>
      <c r="F206" s="59">
        <f>IF(E205=0,0,(E205+E206))</f>
        <v>4658.9821460181556</v>
      </c>
      <c r="G206" s="59" t="str">
        <f t="shared" si="11"/>
        <v/>
      </c>
      <c r="H206" s="57"/>
      <c r="I206" s="57"/>
      <c r="J206" s="57"/>
      <c r="K206" s="57"/>
    </row>
    <row r="207" spans="1:11" x14ac:dyDescent="0.3">
      <c r="A207" s="59"/>
      <c r="B207" s="59"/>
      <c r="C207" s="59"/>
      <c r="D207" s="59"/>
      <c r="E207" s="59"/>
      <c r="F207" s="59"/>
      <c r="G207" s="59" t="str">
        <f t="shared" si="11"/>
        <v/>
      </c>
      <c r="H207" s="57"/>
      <c r="I207" s="57"/>
      <c r="J207" s="57"/>
      <c r="K207" s="57"/>
    </row>
    <row r="208" spans="1:11" x14ac:dyDescent="0.3">
      <c r="A208" s="59">
        <v>6</v>
      </c>
      <c r="B208" s="59">
        <f>$B$196</f>
        <v>997406.96000000008</v>
      </c>
      <c r="C208" s="59">
        <f>$C$181</f>
        <v>6.9547635366689491</v>
      </c>
      <c r="D208" s="59"/>
      <c r="E208" s="59">
        <f>IF(B52="",0,(($D$19*F52)-F52))</f>
        <v>-86731.039999999921</v>
      </c>
      <c r="F208" s="59"/>
      <c r="G208" s="59" t="str">
        <f t="shared" si="11"/>
        <v/>
      </c>
      <c r="H208" s="57"/>
      <c r="I208" s="57"/>
      <c r="J208" s="57"/>
      <c r="K208" s="57"/>
    </row>
    <row r="209" spans="1:11" x14ac:dyDescent="0.3">
      <c r="A209" s="59">
        <v>4</v>
      </c>
      <c r="B209" s="59"/>
      <c r="C209" s="59">
        <f>IF(B50="",0,((((-C208+D50)/(C28*F28))^-1-D28^-1)*F39*1000))</f>
        <v>116.31209049666887</v>
      </c>
      <c r="D209" s="59">
        <f>IF(C209=0,"",C209)</f>
        <v>116.31209049666887</v>
      </c>
      <c r="E209" s="59">
        <f>IF($B$50="",0,(C209/$B$50)*$F$50-$F$50)</f>
        <v>88917.612723869039</v>
      </c>
      <c r="F209" s="59">
        <f>IF(E208=0,0,(E208+E209))</f>
        <v>2186.5727238691179</v>
      </c>
      <c r="G209" s="59" t="str">
        <f t="shared" si="11"/>
        <v/>
      </c>
      <c r="H209" s="57"/>
      <c r="I209" s="57"/>
      <c r="J209" s="57"/>
      <c r="K209" s="57"/>
    </row>
    <row r="210" spans="1:11" x14ac:dyDescent="0.3">
      <c r="A210" s="59"/>
      <c r="B210" s="59"/>
      <c r="C210" s="59"/>
      <c r="D210" s="59"/>
      <c r="E210" s="59"/>
      <c r="F210" s="59"/>
      <c r="G210" s="59" t="str">
        <f t="shared" si="11"/>
        <v/>
      </c>
      <c r="H210" s="57"/>
      <c r="I210" s="57"/>
      <c r="J210" s="57"/>
      <c r="K210" s="57"/>
    </row>
    <row r="211" spans="1:11" x14ac:dyDescent="0.3">
      <c r="A211" s="59">
        <v>7</v>
      </c>
      <c r="B211" s="59">
        <f>$B$199</f>
        <v>1812400</v>
      </c>
      <c r="C211" s="59">
        <f>$C$199</f>
        <v>14.022346368715063</v>
      </c>
      <c r="D211" s="59"/>
      <c r="E211" s="59">
        <f>IF(B53="",0,(($D$19*F53)-F53))</f>
        <v>-157600</v>
      </c>
      <c r="F211" s="59"/>
      <c r="G211" s="59" t="str">
        <f t="shared" si="11"/>
        <v/>
      </c>
      <c r="H211" s="57"/>
      <c r="I211" s="57"/>
      <c r="J211" s="57"/>
      <c r="K211" s="57"/>
    </row>
    <row r="212" spans="1:11" x14ac:dyDescent="0.3">
      <c r="A212" s="59">
        <v>4</v>
      </c>
      <c r="B212" s="59"/>
      <c r="C212" s="59">
        <f>IF(B50="",0,((((-C211+D50)/(C28*F28))^-1-D28^-1)*F39*1000))</f>
        <v>136.78426588444421</v>
      </c>
      <c r="D212" s="59">
        <f>IF(C212=0,"",C212)</f>
        <v>136.78426588444421</v>
      </c>
      <c r="E212" s="59">
        <f>IF($B$50="",0,(C212/$B$50)*$F$50-$F$50)</f>
        <v>207799.94059029198</v>
      </c>
      <c r="F212" s="59">
        <f>IF(E211=0,0,(E211+E212))</f>
        <v>50199.940590291983</v>
      </c>
      <c r="G212" s="59" t="str">
        <f t="shared" si="11"/>
        <v/>
      </c>
      <c r="H212" s="57"/>
      <c r="I212" s="57"/>
      <c r="J212" s="57"/>
      <c r="K212" s="57"/>
    </row>
    <row r="213" spans="1:11" x14ac:dyDescent="0.3">
      <c r="A213" s="59"/>
      <c r="B213" s="59"/>
      <c r="C213" s="59"/>
      <c r="D213" s="59"/>
      <c r="E213" s="59"/>
      <c r="F213" s="59"/>
      <c r="G213" s="59" t="str">
        <f t="shared" si="11"/>
        <v/>
      </c>
      <c r="H213" s="57"/>
      <c r="I213" s="57"/>
      <c r="J213" s="57"/>
      <c r="K213" s="57"/>
    </row>
    <row r="214" spans="1:11" x14ac:dyDescent="0.3">
      <c r="A214" s="59">
        <v>8</v>
      </c>
      <c r="B214" s="59">
        <f>$B$169</f>
        <v>2046804.04</v>
      </c>
      <c r="C214" s="59">
        <f>$C$202</f>
        <v>16.184529727579985</v>
      </c>
      <c r="D214" s="59"/>
      <c r="E214" s="59">
        <f>IF(B54="",0,(($D$19*F54)-F54))</f>
        <v>-177982.95999999996</v>
      </c>
      <c r="F214" s="59"/>
      <c r="G214" s="59" t="str">
        <f t="shared" si="11"/>
        <v/>
      </c>
      <c r="H214" s="57"/>
      <c r="I214" s="57"/>
      <c r="J214" s="57"/>
      <c r="K214" s="57"/>
    </row>
    <row r="215" spans="1:11" x14ac:dyDescent="0.3">
      <c r="A215" s="59">
        <v>4</v>
      </c>
      <c r="B215" s="59"/>
      <c r="C215" s="59">
        <f>IF(B50="",0,((((-C214+D50)/(C28*F28))^-1-D28^-1)*F39*1000))</f>
        <v>144.42972977598933</v>
      </c>
      <c r="D215" s="59">
        <f>IF(C215=0,"",C215)</f>
        <v>144.42972977598933</v>
      </c>
      <c r="E215" s="59">
        <f>IF($B$50="",0,(C215/$B$50)*$F$50-$F$50)</f>
        <v>252197.30080381909</v>
      </c>
      <c r="F215" s="59">
        <f>IF(E214=0,0,(E214+E215))</f>
        <v>74214.340803819126</v>
      </c>
      <c r="G215" s="59" t="str">
        <f t="shared" si="11"/>
        <v/>
      </c>
      <c r="H215" s="57"/>
      <c r="I215" s="57"/>
      <c r="J215" s="57"/>
      <c r="K215" s="57"/>
    </row>
    <row r="216" spans="1:11" x14ac:dyDescent="0.3">
      <c r="A216" s="59"/>
      <c r="B216" s="59"/>
      <c r="C216" s="59"/>
      <c r="D216" s="59"/>
      <c r="E216" s="59"/>
      <c r="F216" s="59"/>
      <c r="G216" s="59" t="str">
        <f t="shared" si="11"/>
        <v/>
      </c>
      <c r="H216" s="57"/>
      <c r="I216" s="57"/>
      <c r="J216" s="57"/>
      <c r="K216" s="57"/>
    </row>
    <row r="217" spans="1:11" x14ac:dyDescent="0.3">
      <c r="A217" s="59">
        <v>6</v>
      </c>
      <c r="B217" s="59">
        <f>$B$196</f>
        <v>997406.96000000008</v>
      </c>
      <c r="C217" s="59">
        <f>$C$196</f>
        <v>6.9547635366689491</v>
      </c>
      <c r="D217" s="59"/>
      <c r="E217" s="59">
        <f>IF(B52="",0,(($D$19*F52)-F52))</f>
        <v>-86731.039999999921</v>
      </c>
      <c r="F217" s="59"/>
      <c r="G217" s="59" t="str">
        <f t="shared" si="11"/>
        <v/>
      </c>
      <c r="H217" s="57"/>
      <c r="I217" s="57"/>
      <c r="J217" s="57"/>
      <c r="K217" s="57"/>
    </row>
    <row r="218" spans="1:11" x14ac:dyDescent="0.3">
      <c r="A218" s="59">
        <v>5</v>
      </c>
      <c r="B218" s="59"/>
      <c r="C218" s="59">
        <f>IF(B51="",0,((((-C217+D51)/(C29*F29))^-1-D29^-1)*F40*1000))</f>
        <v>301.46126058242089</v>
      </c>
      <c r="D218" s="59">
        <f>IF(C218=0,"",C218)</f>
        <v>301.46126058242089</v>
      </c>
      <c r="E218" s="59">
        <f>IF($B$51="",0,(C218/$B$51)*$F$51-$F$51)</f>
        <v>158611.32620134606</v>
      </c>
      <c r="F218" s="59">
        <f>IF(E217=0,0,(E217+E218))</f>
        <v>71880.286201346142</v>
      </c>
      <c r="G218" s="59" t="str">
        <f t="shared" si="11"/>
        <v/>
      </c>
      <c r="H218" s="57"/>
      <c r="I218" s="57"/>
      <c r="J218" s="57"/>
      <c r="K218" s="57"/>
    </row>
    <row r="219" spans="1:11" x14ac:dyDescent="0.3">
      <c r="A219" s="59"/>
      <c r="B219" s="59"/>
      <c r="C219" s="59"/>
      <c r="D219" s="59"/>
      <c r="E219" s="59"/>
      <c r="F219" s="59"/>
      <c r="G219" s="59" t="str">
        <f t="shared" si="11"/>
        <v/>
      </c>
      <c r="H219" s="57"/>
      <c r="I219" s="57"/>
      <c r="J219" s="57"/>
      <c r="K219" s="57"/>
    </row>
    <row r="220" spans="1:11" x14ac:dyDescent="0.3">
      <c r="A220" s="59">
        <v>7</v>
      </c>
      <c r="B220" s="59">
        <f>$B$199</f>
        <v>1812400</v>
      </c>
      <c r="C220" s="59">
        <f>$C$211</f>
        <v>14.022346368715063</v>
      </c>
      <c r="D220" s="59"/>
      <c r="E220" s="59">
        <f>IF(B53="",0,(($D$19*F53)-F53))</f>
        <v>-157600</v>
      </c>
      <c r="F220" s="59"/>
      <c r="G220" s="59" t="str">
        <f t="shared" si="11"/>
        <v/>
      </c>
      <c r="H220" s="57"/>
      <c r="I220" s="57"/>
      <c r="J220" s="57"/>
      <c r="K220" s="57"/>
    </row>
    <row r="221" spans="1:11" x14ac:dyDescent="0.3">
      <c r="A221" s="59">
        <v>5</v>
      </c>
      <c r="B221" s="59"/>
      <c r="C221" s="59">
        <f>IF(B51="",0,((((-C220+D51)/(C29*F29))^-1-D29^-1)*F40*1000))</f>
        <v>862.48745987158452</v>
      </c>
      <c r="D221" s="59">
        <f>IF(C221=0,"",C221)</f>
        <v>862.48745987158452</v>
      </c>
      <c r="E221" s="59">
        <f>IF($B$51="",0,(C221/$B$51)*$F$51-$F$51)</f>
        <v>862266.41466979473</v>
      </c>
      <c r="F221" s="59">
        <f>IF(E220=0,0,(E220+E221))</f>
        <v>704666.41466979473</v>
      </c>
      <c r="G221" s="59" t="str">
        <f t="shared" si="11"/>
        <v/>
      </c>
      <c r="H221" s="57"/>
      <c r="I221" s="57"/>
      <c r="J221" s="57"/>
      <c r="K221" s="57"/>
    </row>
    <row r="222" spans="1:11" x14ac:dyDescent="0.3">
      <c r="A222" s="59"/>
      <c r="B222" s="59"/>
      <c r="C222" s="59"/>
      <c r="D222" s="59"/>
      <c r="E222" s="59"/>
      <c r="F222" s="59"/>
      <c r="G222" s="59" t="str">
        <f t="shared" si="11"/>
        <v/>
      </c>
      <c r="H222" s="57"/>
      <c r="I222" s="57"/>
      <c r="J222" s="57"/>
      <c r="K222" s="57"/>
    </row>
    <row r="223" spans="1:11" x14ac:dyDescent="0.3">
      <c r="A223" s="59">
        <v>8</v>
      </c>
      <c r="B223" s="59">
        <f>$B$169</f>
        <v>2046804.04</v>
      </c>
      <c r="C223" s="59">
        <f>$C$214</f>
        <v>16.184529727579985</v>
      </c>
      <c r="D223" s="59"/>
      <c r="E223" s="59">
        <f>IF(B54="",0,(($D$19*F54)-F54))</f>
        <v>-177982.95999999996</v>
      </c>
      <c r="F223" s="59"/>
      <c r="G223" s="59" t="str">
        <f t="shared" si="11"/>
        <v/>
      </c>
      <c r="H223" s="57"/>
      <c r="I223" s="57"/>
      <c r="J223" s="57"/>
      <c r="K223" s="57"/>
    </row>
    <row r="224" spans="1:11" x14ac:dyDescent="0.3">
      <c r="A224" s="59">
        <v>5</v>
      </c>
      <c r="B224" s="59"/>
      <c r="C224" s="59">
        <f>IF(B51="",0,((((-C223+D51)/(C29*F29))^-1-D29^-1)*F40*1000))</f>
        <v>1906.7041542794018</v>
      </c>
      <c r="D224" s="59">
        <f>IF(C224=0,"",C224)</f>
        <v>1906.7041542794018</v>
      </c>
      <c r="E224" s="59">
        <f>IF($B$51="",0,(C224/$B$51)*$F$51-$F$51)</f>
        <v>2171952.8275587768</v>
      </c>
      <c r="F224" s="59">
        <f>IF(E223=0,0,(E223+E224))</f>
        <v>1993969.8675587769</v>
      </c>
      <c r="G224" s="59" t="str">
        <f t="shared" si="11"/>
        <v/>
      </c>
      <c r="H224" s="57"/>
      <c r="I224" s="57"/>
      <c r="J224" s="57"/>
      <c r="K224" s="57"/>
    </row>
    <row r="225" spans="1:11" x14ac:dyDescent="0.3">
      <c r="A225" s="59"/>
      <c r="B225" s="59"/>
      <c r="C225" s="59"/>
      <c r="D225" s="59"/>
      <c r="E225" s="59"/>
      <c r="F225" s="59"/>
      <c r="G225" s="59" t="str">
        <f t="shared" si="11"/>
        <v/>
      </c>
      <c r="H225" s="57"/>
      <c r="I225" s="57"/>
      <c r="J225" s="57"/>
      <c r="K225" s="57"/>
    </row>
    <row r="226" spans="1:11" x14ac:dyDescent="0.3">
      <c r="A226" s="59">
        <v>7</v>
      </c>
      <c r="B226" s="59">
        <f>$B$220</f>
        <v>1812400</v>
      </c>
      <c r="C226" s="59">
        <f>$C$211</f>
        <v>14.022346368715063</v>
      </c>
      <c r="D226" s="59"/>
      <c r="E226" s="59">
        <f>(($D$19*F53)-F53)</f>
        <v>-157600</v>
      </c>
      <c r="F226" s="59"/>
      <c r="G226" s="59" t="str">
        <f t="shared" si="11"/>
        <v/>
      </c>
      <c r="H226" s="57"/>
      <c r="I226" s="57"/>
      <c r="J226" s="57"/>
      <c r="K226" s="57"/>
    </row>
    <row r="227" spans="1:11" x14ac:dyDescent="0.3">
      <c r="A227" s="59">
        <v>6</v>
      </c>
      <c r="B227" s="59"/>
      <c r="C227" s="59">
        <f>IF(B52="",0,((((-C226+D52)/(C30*F30))^-1-D30^-1)*F41*1000))</f>
        <v>207.17903711133391</v>
      </c>
      <c r="D227" s="59">
        <f>IF(C227=0,"",C227)</f>
        <v>207.17903711133391</v>
      </c>
      <c r="E227" s="59">
        <f>IF($B$52="",0,(C227/$B$52)*$F$52-$F$52)</f>
        <v>206727.90192992706</v>
      </c>
      <c r="F227" s="59">
        <f>IF(E226=0,0,(E226+E227))</f>
        <v>49127.901929927059</v>
      </c>
      <c r="G227" s="59" t="str">
        <f t="shared" si="11"/>
        <v/>
      </c>
      <c r="H227" s="57"/>
      <c r="I227" s="57"/>
      <c r="J227" s="57"/>
      <c r="K227" s="57"/>
    </row>
    <row r="228" spans="1:11" x14ac:dyDescent="0.3">
      <c r="A228" s="59"/>
      <c r="B228" s="59"/>
      <c r="C228" s="59"/>
      <c r="D228" s="59"/>
      <c r="E228" s="59"/>
      <c r="F228" s="59"/>
      <c r="G228" s="59" t="str">
        <f t="shared" si="11"/>
        <v/>
      </c>
      <c r="H228" s="57"/>
      <c r="I228" s="57"/>
      <c r="J228" s="57"/>
      <c r="K228" s="57"/>
    </row>
    <row r="229" spans="1:11" x14ac:dyDescent="0.3">
      <c r="A229" s="59">
        <v>8</v>
      </c>
      <c r="B229" s="59">
        <f>$B$169</f>
        <v>2046804.04</v>
      </c>
      <c r="C229" s="59">
        <f>$C$214</f>
        <v>16.184529727579985</v>
      </c>
      <c r="D229" s="59"/>
      <c r="E229" s="59">
        <f>(($D$19*F54)-F54)</f>
        <v>-177982.95999999996</v>
      </c>
      <c r="F229" s="59"/>
      <c r="G229" s="59" t="str">
        <f t="shared" si="11"/>
        <v/>
      </c>
      <c r="H229" s="57"/>
      <c r="I229" s="57"/>
      <c r="J229" s="57"/>
      <c r="K229" s="57"/>
    </row>
    <row r="230" spans="1:11" x14ac:dyDescent="0.3">
      <c r="A230" s="59">
        <v>6</v>
      </c>
      <c r="B230" s="59"/>
      <c r="C230" s="59">
        <f>IF(B52="",0,((((-C229+D52)/(C30*F30))^-1-D30^-1)*F41*1000))</f>
        <v>213.5153668208855</v>
      </c>
      <c r="D230" s="59">
        <f>IF(C230=0,"",C230)</f>
        <v>213.5153668208855</v>
      </c>
      <c r="E230" s="59">
        <f>(IF(B52="",0,C230/B52)*F52-F52)</f>
        <v>246207.53307161597</v>
      </c>
      <c r="F230" s="59">
        <f>IF(E229=0,0,(E229+E230))</f>
        <v>68224.573071616003</v>
      </c>
      <c r="G230" s="59" t="str">
        <f t="shared" si="11"/>
        <v/>
      </c>
      <c r="H230" s="57"/>
      <c r="I230" s="57"/>
      <c r="J230" s="57"/>
      <c r="K230" s="57"/>
    </row>
    <row r="231" spans="1:11" x14ac:dyDescent="0.3">
      <c r="A231" s="59"/>
      <c r="B231" s="59"/>
      <c r="C231" s="59"/>
      <c r="D231" s="59"/>
      <c r="E231" s="59"/>
      <c r="F231" s="59"/>
      <c r="G231" s="59" t="str">
        <f t="shared" si="11"/>
        <v/>
      </c>
      <c r="H231" s="57"/>
      <c r="I231" s="57"/>
      <c r="J231" s="57"/>
      <c r="K231" s="57"/>
    </row>
    <row r="232" spans="1:11" x14ac:dyDescent="0.3">
      <c r="A232" s="59">
        <v>8</v>
      </c>
      <c r="B232" s="59">
        <f>$B$169</f>
        <v>2046804.04</v>
      </c>
      <c r="C232" s="59">
        <f>$C$214</f>
        <v>16.184529727579985</v>
      </c>
      <c r="D232" s="59"/>
      <c r="E232" s="59">
        <f>(($D$19*F54)-F54)</f>
        <v>-177982.95999999996</v>
      </c>
      <c r="F232" s="59"/>
      <c r="G232" s="59" t="str">
        <f t="shared" si="11"/>
        <v/>
      </c>
      <c r="H232" s="57"/>
      <c r="I232" s="57"/>
      <c r="J232" s="57"/>
      <c r="K232" s="57"/>
    </row>
    <row r="233" spans="1:11" x14ac:dyDescent="0.3">
      <c r="A233" s="59">
        <v>7</v>
      </c>
      <c r="B233" s="59"/>
      <c r="C233" s="59">
        <f>IF(B53="",0,((((-C232+D53)/(C31*F31))^-1-D31^-1)*F42*1000))</f>
        <v>99.882260095432898</v>
      </c>
      <c r="D233" s="59">
        <f>IF(C233=0,"",C233)</f>
        <v>99.882260095432898</v>
      </c>
      <c r="E233" s="59">
        <f>IF(B53="",0,(C233/B53)*F53-F53)</f>
        <v>216311.6932000313</v>
      </c>
      <c r="F233" s="59">
        <f>IF(E232=0,0,(E232+E233))</f>
        <v>38328.733200031333</v>
      </c>
      <c r="G233" s="59" t="str">
        <f t="shared" si="11"/>
        <v/>
      </c>
      <c r="H233" s="57"/>
      <c r="I233" s="57"/>
      <c r="J233" s="57"/>
      <c r="K233" s="57"/>
    </row>
    <row r="234" spans="1:11" x14ac:dyDescent="0.3">
      <c r="A234" s="57"/>
      <c r="B234" s="59"/>
      <c r="C234" s="60"/>
      <c r="D234" s="59"/>
      <c r="E234" s="59"/>
      <c r="F234" s="59"/>
      <c r="G234" s="59" t="str">
        <f t="shared" si="11"/>
        <v/>
      </c>
      <c r="H234" s="57"/>
      <c r="I234" s="57"/>
      <c r="J234" s="57"/>
      <c r="K234" s="57"/>
    </row>
    <row r="235" spans="1:11" x14ac:dyDescent="0.3">
      <c r="A235" s="57"/>
      <c r="B235" s="59"/>
      <c r="C235" s="60"/>
      <c r="D235" s="57"/>
      <c r="E235" s="59"/>
      <c r="F235" s="59"/>
      <c r="G235" s="59" t="str">
        <f t="shared" si="11"/>
        <v/>
      </c>
      <c r="H235" s="57"/>
      <c r="I235" s="57"/>
      <c r="J235" s="57"/>
      <c r="K235" s="57"/>
    </row>
    <row r="236" spans="1:11" x14ac:dyDescent="0.3">
      <c r="A236" s="57"/>
      <c r="B236" s="59"/>
      <c r="C236" s="60"/>
      <c r="D236" s="57"/>
      <c r="E236" s="59"/>
      <c r="F236" s="59"/>
      <c r="G236" s="59" t="str">
        <f t="shared" si="11"/>
        <v/>
      </c>
      <c r="H236" s="57"/>
      <c r="I236" s="57"/>
      <c r="J236" s="57"/>
      <c r="K236" s="57"/>
    </row>
    <row r="237" spans="1:11" x14ac:dyDescent="0.3">
      <c r="A237" s="57"/>
      <c r="B237" s="59"/>
      <c r="C237" s="61" t="s">
        <v>66</v>
      </c>
      <c r="D237" s="59">
        <f>IF(D238=0,1,D238)</f>
        <v>91.099548890921511</v>
      </c>
      <c r="E237" s="61" t="s">
        <v>68</v>
      </c>
      <c r="F237" s="59">
        <f>SUM(F68:F233)+G237</f>
        <v>10905110.126414979</v>
      </c>
      <c r="G237" s="59">
        <f>SUM(G68:G233)</f>
        <v>-4684.6005994617008</v>
      </c>
      <c r="H237" s="60" t="s">
        <v>67</v>
      </c>
      <c r="I237" s="57"/>
      <c r="J237" s="57"/>
      <c r="K237" s="57"/>
    </row>
    <row r="238" spans="1:11" x14ac:dyDescent="0.3">
      <c r="A238" s="57"/>
      <c r="B238" s="59"/>
      <c r="C238" s="61" t="s">
        <v>75</v>
      </c>
      <c r="D238" s="59">
        <f>MIN(D68:D233)</f>
        <v>91.099548890921511</v>
      </c>
      <c r="E238" s="59"/>
      <c r="F238" s="59"/>
      <c r="G238" s="57"/>
      <c r="H238" s="57"/>
      <c r="I238" s="57"/>
      <c r="J238" s="57"/>
      <c r="K238" s="57"/>
    </row>
    <row r="239" spans="1:11" x14ac:dyDescent="0.3">
      <c r="A239" s="57"/>
      <c r="B239" s="59"/>
      <c r="C239" s="57"/>
      <c r="D239" s="57"/>
      <c r="E239" s="61" t="s">
        <v>70</v>
      </c>
      <c r="F239" s="59">
        <f>COUNT(F68:F233)-G239</f>
        <v>54</v>
      </c>
      <c r="G239" s="59">
        <f>COUNT(G68:G233)</f>
        <v>2</v>
      </c>
      <c r="H239" s="60" t="s">
        <v>69</v>
      </c>
      <c r="I239" s="57"/>
      <c r="J239" s="57"/>
      <c r="K239" s="57"/>
    </row>
    <row r="240" spans="1:11" x14ac:dyDescent="0.3">
      <c r="A240" s="57"/>
      <c r="B240" s="59"/>
      <c r="C240" s="60"/>
      <c r="D240" s="57"/>
      <c r="E240" s="59"/>
      <c r="F240" s="59"/>
      <c r="G240" s="57"/>
      <c r="H240" s="57"/>
      <c r="I240" s="57"/>
      <c r="J240" s="57"/>
      <c r="K240" s="57"/>
    </row>
    <row r="241" spans="1:11" x14ac:dyDescent="0.3">
      <c r="A241" s="57"/>
      <c r="B241" s="59"/>
      <c r="C241" s="60"/>
      <c r="D241" s="57"/>
      <c r="E241" s="61" t="s">
        <v>71</v>
      </c>
      <c r="F241" s="59">
        <f>(F237/F239)</f>
        <v>201946.48382249961</v>
      </c>
      <c r="G241" s="59">
        <f>IF(G239=0,"OK",(G237/G239))</f>
        <v>-2342.3002997308504</v>
      </c>
      <c r="H241" s="60" t="s">
        <v>72</v>
      </c>
      <c r="I241" s="57"/>
      <c r="J241" s="57"/>
      <c r="K241" s="57"/>
    </row>
    <row r="242" spans="1:11" x14ac:dyDescent="0.3">
      <c r="A242" s="57"/>
      <c r="B242" s="59"/>
      <c r="C242" s="60"/>
      <c r="D242" s="57"/>
      <c r="E242" s="60"/>
      <c r="F242" s="60"/>
      <c r="G242" s="57"/>
      <c r="H242" s="57"/>
      <c r="I242" s="57"/>
      <c r="J242" s="57"/>
      <c r="K242" s="57"/>
    </row>
    <row r="243" spans="1:11" x14ac:dyDescent="0.3">
      <c r="A243" s="57"/>
      <c r="B243" s="59"/>
      <c r="C243" s="60"/>
      <c r="D243" s="57"/>
      <c r="E243" s="57"/>
      <c r="F243" s="61" t="s">
        <v>73</v>
      </c>
      <c r="G243" s="59">
        <f>IF(G241="OK",0.01,ABS(G241/F241))</f>
        <v>1.159861887860157E-2</v>
      </c>
      <c r="H243" s="59" t="s">
        <v>74</v>
      </c>
      <c r="I243" s="57"/>
      <c r="J243" s="57"/>
      <c r="K243" s="57"/>
    </row>
    <row r="244" spans="1:11" x14ac:dyDescent="0.3">
      <c r="A244" s="57"/>
      <c r="B244" s="59"/>
      <c r="C244" s="57"/>
      <c r="D244" s="57"/>
      <c r="E244" s="57"/>
      <c r="F244" s="57"/>
      <c r="G244" s="57"/>
      <c r="H244" s="57"/>
      <c r="I244" s="57"/>
      <c r="J244" s="57"/>
      <c r="K244" s="57"/>
    </row>
    <row r="245" spans="1:11" x14ac:dyDescent="0.3">
      <c r="A245" s="57"/>
      <c r="B245" s="59"/>
      <c r="C245" s="57"/>
      <c r="D245" s="57"/>
      <c r="E245" s="57"/>
      <c r="F245" s="57"/>
      <c r="G245" s="57"/>
      <c r="H245" s="57"/>
      <c r="I245" s="57"/>
      <c r="J245" s="57"/>
      <c r="K245" s="57"/>
    </row>
    <row r="246" spans="1:11" x14ac:dyDescent="0.3">
      <c r="A246" s="57"/>
      <c r="B246" s="59"/>
      <c r="C246" s="57"/>
      <c r="D246" s="57"/>
      <c r="E246" s="57"/>
      <c r="F246" s="57"/>
      <c r="G246" s="57"/>
      <c r="H246" s="57"/>
      <c r="I246" s="57"/>
      <c r="J246" s="57"/>
      <c r="K246" s="57"/>
    </row>
    <row r="247" spans="1:11" x14ac:dyDescent="0.3">
      <c r="A247" s="57"/>
      <c r="B247" s="59"/>
      <c r="C247" s="57"/>
      <c r="D247" s="57"/>
      <c r="E247" s="57"/>
      <c r="F247" s="57"/>
      <c r="G247" s="57"/>
      <c r="H247" s="57"/>
      <c r="I247" s="57"/>
      <c r="J247" s="57"/>
      <c r="K247" s="57"/>
    </row>
    <row r="248" spans="1:11" x14ac:dyDescent="0.3">
      <c r="A248" s="57"/>
      <c r="B248" s="59"/>
      <c r="C248" s="57"/>
      <c r="D248" s="57"/>
      <c r="E248" s="57"/>
      <c r="F248" s="57"/>
      <c r="G248" s="57"/>
      <c r="H248" s="57"/>
      <c r="I248" s="57"/>
      <c r="J248" s="57"/>
      <c r="K248" s="57"/>
    </row>
    <row r="249" spans="1:11" x14ac:dyDescent="0.3">
      <c r="A249" s="57"/>
      <c r="B249" s="58"/>
      <c r="C249" s="57"/>
      <c r="D249" s="57"/>
      <c r="E249" s="57"/>
      <c r="F249" s="57"/>
      <c r="G249" s="57"/>
      <c r="H249" s="57"/>
      <c r="I249" s="57"/>
      <c r="J249" s="57"/>
      <c r="K249" s="57"/>
    </row>
    <row r="250" spans="1:11" x14ac:dyDescent="0.3">
      <c r="A250" s="57"/>
      <c r="B250" s="58"/>
      <c r="C250" s="57"/>
      <c r="D250" s="57"/>
      <c r="E250" s="57"/>
      <c r="F250" s="57"/>
      <c r="G250" s="57"/>
      <c r="H250" s="57"/>
      <c r="I250" s="57"/>
      <c r="J250" s="57"/>
      <c r="K250" s="57"/>
    </row>
    <row r="251" spans="1:11" x14ac:dyDescent="0.3">
      <c r="A251" s="57"/>
      <c r="B251" s="57"/>
      <c r="C251" s="57"/>
      <c r="D251" s="57"/>
      <c r="E251" s="57"/>
      <c r="F251" s="57"/>
      <c r="G251" s="57"/>
      <c r="H251" s="57"/>
      <c r="I251" s="57"/>
      <c r="J251" s="57"/>
      <c r="K251" s="57"/>
    </row>
    <row r="252" spans="1:11" x14ac:dyDescent="0.3">
      <c r="A252" s="57"/>
      <c r="B252" s="57"/>
      <c r="C252" s="57"/>
      <c r="D252" s="57"/>
      <c r="E252" s="57"/>
      <c r="F252" s="57"/>
      <c r="G252" s="57"/>
      <c r="H252" s="57"/>
      <c r="I252" s="57"/>
      <c r="J252" s="57"/>
      <c r="K252" s="57"/>
    </row>
    <row r="253" spans="1:11" x14ac:dyDescent="0.3">
      <c r="A253" s="57"/>
      <c r="B253" s="57"/>
      <c r="C253" s="57"/>
      <c r="D253" s="57"/>
      <c r="E253" s="57"/>
      <c r="F253" s="57"/>
      <c r="G253" s="57"/>
      <c r="H253" s="57"/>
      <c r="I253" s="57"/>
      <c r="J253" s="57"/>
      <c r="K253" s="57"/>
    </row>
    <row r="254" spans="1:11" x14ac:dyDescent="0.3">
      <c r="A254" s="57"/>
      <c r="B254" s="57"/>
      <c r="C254" s="57"/>
      <c r="D254" s="57"/>
      <c r="E254" s="57"/>
      <c r="F254" s="57"/>
      <c r="G254" s="57"/>
      <c r="H254" s="57"/>
      <c r="I254" s="57"/>
      <c r="J254" s="57"/>
      <c r="K254" s="57"/>
    </row>
    <row r="255" spans="1:11" x14ac:dyDescent="0.3">
      <c r="A255" s="57"/>
      <c r="B255" s="57"/>
      <c r="C255" s="57"/>
      <c r="D255" s="57"/>
      <c r="E255" s="57"/>
      <c r="F255" s="57"/>
      <c r="G255" s="57"/>
      <c r="H255" s="57"/>
      <c r="I255" s="57"/>
      <c r="J255" s="57"/>
      <c r="K255" s="57"/>
    </row>
  </sheetData>
  <mergeCells count="4">
    <mergeCell ref="E1:F1"/>
    <mergeCell ref="C7:D7"/>
    <mergeCell ref="E7:F9"/>
    <mergeCell ref="E12:F14"/>
  </mergeCells>
  <dataValidations count="1">
    <dataValidation type="decimal" allowBlank="1" showInputMessage="1" showErrorMessage="1" sqref="D19" xr:uid="{DFA41634-3BAD-4794-886C-B8FBFE2BF22D}">
      <formula1>0.9</formula1>
      <formula2>0.95</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Tabelle1</vt:lpstr>
      <vt:lpstr>ANLASS</vt:lpstr>
      <vt:lpstr>ÜBERTRAG UND KONTROLLE</vt:lpstr>
      <vt:lpstr>PRO MEMORIA</vt:lpstr>
      <vt:lpstr>UNGESCHÜTZT UND OFFEN</vt:lpstr>
      <vt:lpstr>'PRO MEMORIA'!_Hlk123379452</vt:lpstr>
      <vt:lpstr>ANLASS!Druckbereich</vt:lpstr>
      <vt:lpstr>'PRO MEMORIA'!Druckbereich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dc:creator>
  <cp:lastModifiedBy>Heinz Bangerter</cp:lastModifiedBy>
  <cp:lastPrinted>2023-06-29T13:39:03Z</cp:lastPrinted>
  <dcterms:created xsi:type="dcterms:W3CDTF">2023-06-17T09:42:07Z</dcterms:created>
  <dcterms:modified xsi:type="dcterms:W3CDTF">2023-09-29T12:26:01Z</dcterms:modified>
</cp:coreProperties>
</file>