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Heinz\iCloudDrive\"/>
    </mc:Choice>
  </mc:AlternateContent>
  <bookViews>
    <workbookView xWindow="0" yWindow="0" windowWidth="23040" windowHeight="9084" activeTab="2" xr2:uid="{00000000-000D-0000-FFFF-FFFF00000000}"/>
  </bookViews>
  <sheets>
    <sheet name="THEMA IM ÜBERBLICK" sheetId="10" r:id="rId1"/>
    <sheet name="EINGABEN EINZELWERTE" sheetId="11" r:id="rId2"/>
    <sheet name=" GRAFIKEN UND ABFRAGEN" sheetId="7" r:id="rId3"/>
  </sheets>
  <definedNames>
    <definedName name="_xlnm.Print_Area" localSheetId="2">' GRAFIKEN UND ABFRAGEN'!$N$1:$R$33</definedName>
    <definedName name="_xlnm.Print_Area" localSheetId="1">'EINGABEN EINZELWERTE'!$A$1:$F$33</definedName>
    <definedName name="_xlnm.Print_Area" localSheetId="0">'THEMA IM ÜBERBLICK'!$A$1:$T$49</definedName>
    <definedName name="Messreihe">#REF!</definedName>
    <definedName name="Personal">#REF!</definedName>
    <definedName name="Test">#REF!</definedName>
    <definedName name="Umsatz">#REF!</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7" l="1"/>
  <c r="A89" i="7" l="1"/>
  <c r="A90" i="7"/>
  <c r="A91" i="7"/>
  <c r="A92" i="7"/>
  <c r="A93" i="7"/>
  <c r="A94" i="7"/>
  <c r="A95" i="7"/>
  <c r="A96" i="7"/>
  <c r="A97" i="7"/>
  <c r="A98" i="7"/>
  <c r="A99" i="7"/>
  <c r="A100" i="7"/>
  <c r="A101" i="7"/>
  <c r="A102" i="7"/>
  <c r="A103" i="7"/>
  <c r="A104" i="7"/>
  <c r="A105" i="7"/>
  <c r="A106" i="7"/>
  <c r="A107" i="7"/>
  <c r="A108" i="7"/>
  <c r="A69" i="7"/>
  <c r="A70" i="7"/>
  <c r="A71" i="7"/>
  <c r="A72" i="7"/>
  <c r="A73" i="7"/>
  <c r="A74" i="7"/>
  <c r="A75" i="7"/>
  <c r="A76" i="7"/>
  <c r="A77" i="7"/>
  <c r="A78" i="7"/>
  <c r="A79" i="7"/>
  <c r="A80" i="7"/>
  <c r="A81" i="7"/>
  <c r="A82" i="7"/>
  <c r="A83" i="7"/>
  <c r="A84" i="7"/>
  <c r="A85" i="7"/>
  <c r="A86" i="7"/>
  <c r="A87" i="7"/>
  <c r="A88" i="7"/>
  <c r="A49" i="7"/>
  <c r="A50" i="7"/>
  <c r="A51" i="7"/>
  <c r="A52" i="7"/>
  <c r="A53" i="7"/>
  <c r="A54" i="7"/>
  <c r="A55" i="7"/>
  <c r="A56" i="7"/>
  <c r="A57" i="7"/>
  <c r="A58" i="7"/>
  <c r="A59" i="7"/>
  <c r="A60" i="7"/>
  <c r="A61" i="7"/>
  <c r="A62" i="7"/>
  <c r="A63" i="7"/>
  <c r="A64" i="7"/>
  <c r="A65" i="7"/>
  <c r="A66" i="7"/>
  <c r="A67" i="7"/>
  <c r="A68" i="7"/>
  <c r="A29" i="7"/>
  <c r="A30" i="7"/>
  <c r="A31" i="7"/>
  <c r="A32" i="7"/>
  <c r="A33" i="7"/>
  <c r="A34" i="7"/>
  <c r="A35" i="7"/>
  <c r="A36" i="7"/>
  <c r="A37" i="7"/>
  <c r="A38" i="7"/>
  <c r="A39" i="7"/>
  <c r="A40" i="7"/>
  <c r="A41" i="7"/>
  <c r="A42" i="7"/>
  <c r="A43" i="7"/>
  <c r="A44" i="7"/>
  <c r="A45" i="7"/>
  <c r="A46" i="7"/>
  <c r="A47" i="7"/>
  <c r="A48" i="7"/>
  <c r="A9" i="7"/>
  <c r="A10" i="7"/>
  <c r="A11" i="7"/>
  <c r="A12" i="7"/>
  <c r="A13" i="7"/>
  <c r="A14" i="7"/>
  <c r="A15" i="7"/>
  <c r="A16" i="7"/>
  <c r="A17" i="7"/>
  <c r="A18" i="7"/>
  <c r="A19" i="7"/>
  <c r="A21" i="7"/>
  <c r="A22" i="7"/>
  <c r="A23" i="7"/>
  <c r="A24" i="7"/>
  <c r="A25" i="7"/>
  <c r="A26" i="7"/>
  <c r="A27" i="7"/>
  <c r="A28" i="7"/>
  <c r="J111" i="7" l="1"/>
  <c r="B12" i="7"/>
  <c r="B11" i="7"/>
  <c r="B10" i="7"/>
  <c r="B14" i="7"/>
  <c r="B13" i="7"/>
  <c r="B9" i="7"/>
  <c r="B24" i="7" l="1"/>
  <c r="C9" i="7" l="1"/>
  <c r="C10" i="7"/>
  <c r="C11" i="7"/>
  <c r="C12" i="7"/>
  <c r="C13" i="7"/>
  <c r="C14" i="7"/>
  <c r="B20" i="7"/>
  <c r="B21" i="7"/>
  <c r="B22" i="7"/>
  <c r="B23" i="7"/>
  <c r="B25" i="7"/>
  <c r="B26" i="7"/>
  <c r="BS93" i="7" s="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9" i="7" l="1"/>
  <c r="B18" i="7"/>
  <c r="B17" i="7"/>
  <c r="B16" i="7"/>
  <c r="B15" i="7"/>
  <c r="F111" i="7"/>
  <c r="J110" i="7" l="1"/>
  <c r="J113" i="7"/>
  <c r="J109" i="7" s="1"/>
  <c r="F113" i="7"/>
  <c r="F109" i="7" s="1"/>
  <c r="F110" i="7"/>
  <c r="G116" i="7"/>
  <c r="C102" i="7"/>
  <c r="C100" i="7"/>
  <c r="C19" i="7"/>
  <c r="C47" i="7"/>
  <c r="C41" i="7"/>
  <c r="C92" i="7"/>
  <c r="C87" i="7"/>
  <c r="G115" i="7"/>
  <c r="C99" i="7"/>
  <c r="C58" i="7"/>
  <c r="C96" i="7"/>
  <c r="C32" i="7"/>
  <c r="C94" i="7"/>
  <c r="C31" i="7"/>
  <c r="C79" i="7"/>
  <c r="C45" i="7"/>
  <c r="C103" i="7"/>
  <c r="C77" i="7"/>
  <c r="C80" i="7"/>
  <c r="C46" i="7"/>
  <c r="C62" i="7"/>
  <c r="C81" i="7"/>
  <c r="C15" i="7"/>
  <c r="C61" i="7"/>
  <c r="C35" i="7"/>
  <c r="C17" i="7"/>
  <c r="C18" i="7"/>
  <c r="C30" i="7"/>
  <c r="C95" i="7"/>
  <c r="C68" i="7"/>
  <c r="C26" i="7"/>
  <c r="C70" i="7"/>
  <c r="C55" i="7"/>
  <c r="C40" i="7"/>
  <c r="C104" i="7"/>
  <c r="C89" i="7"/>
  <c r="C66" i="7"/>
  <c r="C43" i="7"/>
  <c r="C106" i="7"/>
  <c r="C76" i="7"/>
  <c r="C16" i="7"/>
  <c r="C29" i="7"/>
  <c r="C78" i="7"/>
  <c r="C48" i="7"/>
  <c r="C33" i="7"/>
  <c r="C97" i="7"/>
  <c r="C74" i="7"/>
  <c r="C51" i="7"/>
  <c r="C25" i="7"/>
  <c r="C84" i="7"/>
  <c r="C85" i="7"/>
  <c r="C93" i="7"/>
  <c r="C63" i="7"/>
  <c r="C37" i="7"/>
  <c r="C101" i="7"/>
  <c r="C86" i="7"/>
  <c r="C71" i="7"/>
  <c r="C56" i="7"/>
  <c r="C105" i="7"/>
  <c r="C82" i="7"/>
  <c r="C59" i="7"/>
  <c r="C28" i="7"/>
  <c r="C22" i="7"/>
  <c r="C64" i="7"/>
  <c r="C24" i="7"/>
  <c r="C67" i="7"/>
  <c r="C36" i="7"/>
  <c r="C21" i="7"/>
  <c r="C49" i="7"/>
  <c r="C90" i="7"/>
  <c r="C53" i="7"/>
  <c r="C38" i="7"/>
  <c r="C72" i="7"/>
  <c r="C57" i="7"/>
  <c r="C34" i="7"/>
  <c r="C98" i="7"/>
  <c r="C75" i="7"/>
  <c r="C44" i="7"/>
  <c r="C107" i="7"/>
  <c r="C20" i="7"/>
  <c r="C65" i="7"/>
  <c r="C42" i="7"/>
  <c r="C108" i="7"/>
  <c r="C83" i="7"/>
  <c r="C52" i="7"/>
  <c r="C23" i="7"/>
  <c r="C69" i="7"/>
  <c r="C54" i="7"/>
  <c r="C39" i="7"/>
  <c r="C88" i="7"/>
  <c r="C73" i="7"/>
  <c r="C50" i="7"/>
  <c r="C27" i="7"/>
  <c r="C91" i="7"/>
  <c r="C60" i="7"/>
  <c r="K111" i="7" l="1"/>
  <c r="K112" i="7"/>
  <c r="G111" i="7"/>
  <c r="E46" i="7"/>
  <c r="E47" i="7"/>
  <c r="E80" i="7"/>
  <c r="E38" i="7"/>
  <c r="E18" i="7"/>
  <c r="E42" i="7"/>
  <c r="E68" i="7"/>
  <c r="E92" i="7"/>
  <c r="E23" i="7"/>
  <c r="E49" i="7"/>
  <c r="E82" i="7"/>
  <c r="E16" i="7"/>
  <c r="E10" i="7"/>
  <c r="E105" i="7"/>
  <c r="E36" i="7"/>
  <c r="E71" i="7"/>
  <c r="E103" i="7"/>
  <c r="E102" i="7"/>
  <c r="E33" i="7"/>
  <c r="E60" i="7"/>
  <c r="E84" i="7"/>
  <c r="E107" i="7"/>
  <c r="E39" i="7"/>
  <c r="E73" i="7"/>
  <c r="E15" i="7"/>
  <c r="E19" i="7"/>
  <c r="E97" i="7"/>
  <c r="E28" i="7"/>
  <c r="E63" i="7"/>
  <c r="E95" i="7"/>
  <c r="E94" i="7"/>
  <c r="E25" i="7"/>
  <c r="E51" i="7"/>
  <c r="E75" i="7"/>
  <c r="E99" i="7"/>
  <c r="E30" i="7"/>
  <c r="E65" i="7"/>
  <c r="E14" i="7"/>
  <c r="E9" i="7"/>
  <c r="E89" i="7"/>
  <c r="E26" i="7"/>
  <c r="E55" i="7"/>
  <c r="E87" i="7"/>
  <c r="E86" i="7"/>
  <c r="E76" i="7"/>
  <c r="E41" i="7"/>
  <c r="E67" i="7"/>
  <c r="E91" i="7"/>
  <c r="E11" i="7"/>
  <c r="E57" i="7"/>
  <c r="E22" i="7"/>
  <c r="E17" i="7"/>
  <c r="E81" i="7"/>
  <c r="E44" i="7"/>
  <c r="E45" i="7"/>
  <c r="E79" i="7"/>
  <c r="E78" i="7"/>
  <c r="E101" i="7"/>
  <c r="E32" i="7"/>
  <c r="E59" i="7"/>
  <c r="E83" i="7"/>
  <c r="E52" i="7"/>
  <c r="E48" i="7"/>
  <c r="E13" i="7"/>
  <c r="E72" i="7"/>
  <c r="E104" i="7"/>
  <c r="E35" i="7"/>
  <c r="E70" i="7"/>
  <c r="E69" i="7"/>
  <c r="E93" i="7"/>
  <c r="E24" i="7"/>
  <c r="E50" i="7"/>
  <c r="E74" i="7"/>
  <c r="E106" i="7"/>
  <c r="E37" i="7"/>
  <c r="E21" i="7"/>
  <c r="E64" i="7"/>
  <c r="E96" i="7"/>
  <c r="E27" i="7"/>
  <c r="E62" i="7"/>
  <c r="E61" i="7"/>
  <c r="E85" i="7"/>
  <c r="E108" i="7"/>
  <c r="E40" i="7"/>
  <c r="E66" i="7"/>
  <c r="E98" i="7"/>
  <c r="E29" i="7"/>
  <c r="E12" i="7"/>
  <c r="E56" i="7"/>
  <c r="E88" i="7"/>
  <c r="E34" i="7"/>
  <c r="E43" i="7"/>
  <c r="E53" i="7"/>
  <c r="E77" i="7"/>
  <c r="E100" i="7"/>
  <c r="E31" i="7"/>
  <c r="E58" i="7"/>
  <c r="E90" i="7"/>
  <c r="E54" i="7"/>
  <c r="E20" i="7"/>
  <c r="D73" i="7"/>
  <c r="J73" i="7" s="1"/>
  <c r="D105" i="7"/>
  <c r="J105" i="7" s="1"/>
  <c r="D22" i="7"/>
  <c r="D96" i="7"/>
  <c r="J96" i="7" s="1"/>
  <c r="D15" i="7"/>
  <c r="D95" i="7"/>
  <c r="J95" i="7" s="1"/>
  <c r="D14" i="7"/>
  <c r="D72" i="7"/>
  <c r="J72" i="7" s="1"/>
  <c r="D60" i="7"/>
  <c r="J60" i="7" s="1"/>
  <c r="D81" i="7"/>
  <c r="J81" i="7" s="1"/>
  <c r="D69" i="7"/>
  <c r="J69" i="7" s="1"/>
  <c r="D79" i="7"/>
  <c r="J79" i="7" s="1"/>
  <c r="D42" i="7"/>
  <c r="J42" i="7" s="1"/>
  <c r="K42" i="7" s="1"/>
  <c r="D103" i="7"/>
  <c r="J103" i="7" s="1"/>
  <c r="D82" i="7"/>
  <c r="J82" i="7" s="1"/>
  <c r="D46" i="7"/>
  <c r="J46" i="7" s="1"/>
  <c r="D97" i="7"/>
  <c r="J97" i="7" s="1"/>
  <c r="D16" i="7"/>
  <c r="D84" i="7"/>
  <c r="J84" i="7" s="1"/>
  <c r="D78" i="7"/>
  <c r="J78" i="7" s="1"/>
  <c r="D83" i="7"/>
  <c r="J83" i="7" s="1"/>
  <c r="D88" i="7"/>
  <c r="J88" i="7" s="1"/>
  <c r="D63" i="7"/>
  <c r="J63" i="7" s="1"/>
  <c r="D10" i="7"/>
  <c r="D71" i="7"/>
  <c r="J71" i="7" s="1"/>
  <c r="D18" i="7"/>
  <c r="D70" i="7"/>
  <c r="J70" i="7" s="1"/>
  <c r="D68" i="7"/>
  <c r="J68" i="7" s="1"/>
  <c r="D21" i="7"/>
  <c r="D80" i="7"/>
  <c r="J80" i="7" s="1"/>
  <c r="D106" i="7"/>
  <c r="J106" i="7" s="1"/>
  <c r="D85" i="7"/>
  <c r="J85" i="7" s="1"/>
  <c r="D99" i="7"/>
  <c r="J99" i="7" s="1"/>
  <c r="D75" i="7"/>
  <c r="J75" i="7" s="1"/>
  <c r="D24" i="7"/>
  <c r="D74" i="7"/>
  <c r="J74" i="7" s="1"/>
  <c r="D91" i="7"/>
  <c r="J91" i="7" s="1"/>
  <c r="D55" i="7"/>
  <c r="J55" i="7" s="1"/>
  <c r="D17" i="7"/>
  <c r="D62" i="7"/>
  <c r="J62" i="7" s="1"/>
  <c r="D32" i="7"/>
  <c r="D61" i="7"/>
  <c r="J61" i="7" s="1"/>
  <c r="D23" i="7"/>
  <c r="D104" i="7"/>
  <c r="J104" i="7" s="1"/>
  <c r="D47" i="7"/>
  <c r="J47" i="7" s="1"/>
  <c r="D98" i="7"/>
  <c r="J98" i="7" s="1"/>
  <c r="D76" i="7"/>
  <c r="J76" i="7" s="1"/>
  <c r="D33" i="7"/>
  <c r="D65" i="7"/>
  <c r="J65" i="7" s="1"/>
  <c r="D41" i="7"/>
  <c r="J41" i="7" s="1"/>
  <c r="D64" i="7"/>
  <c r="J64" i="7" s="1"/>
  <c r="D50" i="7"/>
  <c r="J50" i="7" s="1"/>
  <c r="D37" i="7"/>
  <c r="D89" i="7"/>
  <c r="J89" i="7" s="1"/>
  <c r="D54" i="7"/>
  <c r="J54" i="7" s="1"/>
  <c r="D87" i="7"/>
  <c r="J87" i="7" s="1"/>
  <c r="D53" i="7"/>
  <c r="J53" i="7" s="1"/>
  <c r="D9" i="7"/>
  <c r="D86" i="7"/>
  <c r="J86" i="7" s="1"/>
  <c r="D66" i="7"/>
  <c r="J66" i="7" s="1"/>
  <c r="D59" i="7"/>
  <c r="J59" i="7" s="1"/>
  <c r="D57" i="7"/>
  <c r="J57" i="7" s="1"/>
  <c r="D92" i="7"/>
  <c r="J92" i="7" s="1"/>
  <c r="D56" i="7"/>
  <c r="J56" i="7" s="1"/>
  <c r="D36" i="7"/>
  <c r="D27" i="7"/>
  <c r="D49" i="7"/>
  <c r="J49" i="7" s="1"/>
  <c r="D35" i="7"/>
  <c r="D48" i="7"/>
  <c r="J48" i="7" s="1"/>
  <c r="D34" i="7"/>
  <c r="D20" i="7"/>
  <c r="D107" i="7"/>
  <c r="J107" i="7" s="1"/>
  <c r="D77" i="7"/>
  <c r="J77" i="7" s="1"/>
  <c r="D58" i="7"/>
  <c r="J58" i="7" s="1"/>
  <c r="D52" i="7"/>
  <c r="J52" i="7" s="1"/>
  <c r="D39" i="7"/>
  <c r="J39" i="7" s="1"/>
  <c r="D51" i="7"/>
  <c r="J51" i="7" s="1"/>
  <c r="D38" i="7"/>
  <c r="D102" i="7"/>
  <c r="J102" i="7" s="1"/>
  <c r="D19" i="7"/>
  <c r="D29" i="7"/>
  <c r="D26" i="7"/>
  <c r="D108" i="7"/>
  <c r="J108" i="7" s="1"/>
  <c r="D25" i="7"/>
  <c r="D31" i="7"/>
  <c r="D93" i="7"/>
  <c r="J93" i="7" s="1"/>
  <c r="D67" i="7"/>
  <c r="J67" i="7" s="1"/>
  <c r="D40" i="7"/>
  <c r="J40" i="7" s="1"/>
  <c r="D44" i="7"/>
  <c r="J44" i="7" s="1"/>
  <c r="D30" i="7"/>
  <c r="D43" i="7"/>
  <c r="J43" i="7" s="1"/>
  <c r="D28" i="7"/>
  <c r="D94" i="7"/>
  <c r="J94" i="7" s="1"/>
  <c r="D13" i="7"/>
  <c r="D101" i="7"/>
  <c r="J101" i="7" s="1"/>
  <c r="D12" i="7"/>
  <c r="D100" i="7"/>
  <c r="J100" i="7" s="1"/>
  <c r="D11" i="7"/>
  <c r="D45" i="7"/>
  <c r="J45" i="7" s="1"/>
  <c r="D90" i="7"/>
  <c r="J90" i="7" s="1"/>
  <c r="G112" i="7"/>
  <c r="N110" i="7"/>
  <c r="G110" i="7" s="1"/>
  <c r="AQ42" i="7" l="1"/>
  <c r="AS42" i="7" s="1"/>
  <c r="AI42" i="7"/>
  <c r="AK42" i="7" s="1"/>
  <c r="K109" i="7"/>
  <c r="K77" i="7"/>
  <c r="K97" i="7"/>
  <c r="F12" i="7"/>
  <c r="BR12" i="7" s="1"/>
  <c r="J12" i="7"/>
  <c r="K40" i="7"/>
  <c r="F19" i="7"/>
  <c r="BR19" i="7" s="1"/>
  <c r="J19" i="7"/>
  <c r="K107" i="7"/>
  <c r="K56" i="7"/>
  <c r="K87" i="7"/>
  <c r="F33" i="7"/>
  <c r="BR33" i="7" s="1"/>
  <c r="J33" i="7"/>
  <c r="K62" i="7"/>
  <c r="K85" i="7"/>
  <c r="F10" i="7"/>
  <c r="BR10" i="7" s="1"/>
  <c r="J10" i="7"/>
  <c r="K46" i="7"/>
  <c r="K72" i="7"/>
  <c r="K100" i="7"/>
  <c r="F32" i="7"/>
  <c r="BR32" i="7" s="1"/>
  <c r="J32" i="7"/>
  <c r="K102" i="7"/>
  <c r="F20" i="7"/>
  <c r="BR20" i="7" s="1"/>
  <c r="J20" i="7"/>
  <c r="K92" i="7"/>
  <c r="K54" i="7"/>
  <c r="K76" i="7"/>
  <c r="F17" i="7"/>
  <c r="BR17" i="7" s="1"/>
  <c r="J17" i="7"/>
  <c r="K106" i="7"/>
  <c r="K63" i="7"/>
  <c r="K82" i="7"/>
  <c r="F14" i="7"/>
  <c r="BR14" i="7" s="1"/>
  <c r="J14" i="7"/>
  <c r="F36" i="7"/>
  <c r="BR36" i="7" s="1"/>
  <c r="J36" i="7"/>
  <c r="K60" i="7"/>
  <c r="K67" i="7"/>
  <c r="F13" i="7"/>
  <c r="BR13" i="7" s="1"/>
  <c r="J13" i="7"/>
  <c r="F38" i="7"/>
  <c r="BR38" i="7" s="1"/>
  <c r="J38" i="7"/>
  <c r="F34" i="7"/>
  <c r="BR34" i="7" s="1"/>
  <c r="J34" i="7"/>
  <c r="K57" i="7"/>
  <c r="K89" i="7"/>
  <c r="K98" i="7"/>
  <c r="K55" i="7"/>
  <c r="K80" i="7"/>
  <c r="K88" i="7"/>
  <c r="K103" i="7"/>
  <c r="K95" i="7"/>
  <c r="K53" i="7"/>
  <c r="K73" i="7"/>
  <c r="K101" i="7"/>
  <c r="K93" i="7"/>
  <c r="K94" i="7"/>
  <c r="F31" i="7"/>
  <c r="BR31" i="7" s="1"/>
  <c r="J31" i="7"/>
  <c r="K51" i="7"/>
  <c r="K48" i="7"/>
  <c r="K59" i="7"/>
  <c r="F37" i="7"/>
  <c r="BR37" i="7" s="1"/>
  <c r="J37" i="7"/>
  <c r="K47" i="7"/>
  <c r="K91" i="7"/>
  <c r="F21" i="7"/>
  <c r="BR21" i="7" s="1"/>
  <c r="J21" i="7"/>
  <c r="K83" i="7"/>
  <c r="F15" i="7"/>
  <c r="BR15" i="7" s="1"/>
  <c r="J15" i="7"/>
  <c r="K110" i="7"/>
  <c r="M50" i="7" s="1"/>
  <c r="AR50" i="7" s="1"/>
  <c r="AT50" i="7" s="1"/>
  <c r="AW50" i="7" s="1"/>
  <c r="F29" i="7"/>
  <c r="BR29" i="7" s="1"/>
  <c r="J29" i="7"/>
  <c r="K71" i="7"/>
  <c r="K90" i="7"/>
  <c r="F28" i="7"/>
  <c r="BR28" i="7" s="1"/>
  <c r="J28" i="7"/>
  <c r="F25" i="7"/>
  <c r="BR25" i="7" s="1"/>
  <c r="J25" i="7"/>
  <c r="K39" i="7"/>
  <c r="F35" i="7"/>
  <c r="BR35" i="7" s="1"/>
  <c r="J35" i="7"/>
  <c r="K66" i="7"/>
  <c r="K50" i="7"/>
  <c r="K104" i="7"/>
  <c r="K74" i="7"/>
  <c r="K68" i="7"/>
  <c r="K78" i="7"/>
  <c r="K79" i="7"/>
  <c r="K96" i="7"/>
  <c r="K44" i="7"/>
  <c r="K99" i="7"/>
  <c r="K45" i="7"/>
  <c r="K43" i="7"/>
  <c r="K108" i="7"/>
  <c r="K52" i="7"/>
  <c r="K86" i="7"/>
  <c r="K64" i="7"/>
  <c r="F23" i="7"/>
  <c r="BR23" i="7" s="1"/>
  <c r="J23" i="7"/>
  <c r="F24" i="7"/>
  <c r="BR24" i="7" s="1"/>
  <c r="J24" i="7"/>
  <c r="K70" i="7"/>
  <c r="K84" i="7"/>
  <c r="K69" i="7"/>
  <c r="F22" i="7"/>
  <c r="BR22" i="7" s="1"/>
  <c r="J22" i="7"/>
  <c r="K65" i="7"/>
  <c r="F11" i="7"/>
  <c r="BR11" i="7" s="1"/>
  <c r="J11" i="7"/>
  <c r="F30" i="7"/>
  <c r="BR30" i="7" s="1"/>
  <c r="J30" i="7"/>
  <c r="F26" i="7"/>
  <c r="BR26" i="7" s="1"/>
  <c r="J26" i="7"/>
  <c r="K58" i="7"/>
  <c r="F27" i="7"/>
  <c r="BR27" i="7" s="1"/>
  <c r="J27" i="7"/>
  <c r="F9" i="7"/>
  <c r="J9" i="7"/>
  <c r="K41" i="7"/>
  <c r="K61" i="7"/>
  <c r="K75" i="7"/>
  <c r="F18" i="7"/>
  <c r="BR18" i="7" s="1"/>
  <c r="J18" i="7"/>
  <c r="F16" i="7"/>
  <c r="BR16" i="7" s="1"/>
  <c r="J16" i="7"/>
  <c r="K81" i="7"/>
  <c r="K105" i="7"/>
  <c r="K49" i="7"/>
  <c r="F96" i="7"/>
  <c r="BA96" i="7" s="1"/>
  <c r="F62" i="7"/>
  <c r="F50" i="7"/>
  <c r="F79" i="7"/>
  <c r="BA79" i="7" s="1"/>
  <c r="F91" i="7"/>
  <c r="BA91" i="7" s="1"/>
  <c r="F89" i="7"/>
  <c r="BA89" i="7" s="1"/>
  <c r="F73" i="7"/>
  <c r="BA73" i="7" s="1"/>
  <c r="F71" i="7"/>
  <c r="BA71" i="7" s="1"/>
  <c r="F92" i="7"/>
  <c r="BA92" i="7" s="1"/>
  <c r="F100" i="7"/>
  <c r="BA100" i="7" s="1"/>
  <c r="F48" i="7"/>
  <c r="BR48" i="7" s="1"/>
  <c r="F45" i="7"/>
  <c r="BR45" i="7" s="1"/>
  <c r="F67" i="7"/>
  <c r="F94" i="7"/>
  <c r="BA94" i="7" s="1"/>
  <c r="F39" i="7"/>
  <c r="BR39" i="7" s="1"/>
  <c r="F68" i="7"/>
  <c r="F77" i="7"/>
  <c r="BA77" i="7" s="1"/>
  <c r="F98" i="7"/>
  <c r="BA98" i="7" s="1"/>
  <c r="F93" i="7"/>
  <c r="BA93" i="7" s="1"/>
  <c r="F52" i="7"/>
  <c r="F44" i="7"/>
  <c r="BR44" i="7" s="1"/>
  <c r="F41" i="7"/>
  <c r="BR41" i="7" s="1"/>
  <c r="F95" i="7"/>
  <c r="BA95" i="7" s="1"/>
  <c r="F107" i="7"/>
  <c r="BA107" i="7" s="1"/>
  <c r="F105" i="7"/>
  <c r="BA105" i="7" s="1"/>
  <c r="F42" i="7"/>
  <c r="BR42" i="7" s="1"/>
  <c r="F53" i="7"/>
  <c r="F66" i="7"/>
  <c r="F64" i="7"/>
  <c r="F69" i="7"/>
  <c r="BA69" i="7" s="1"/>
  <c r="F83" i="7"/>
  <c r="BA83" i="7" s="1"/>
  <c r="F81" i="7"/>
  <c r="BA81" i="7" s="1"/>
  <c r="F76" i="7"/>
  <c r="BA76" i="7" s="1"/>
  <c r="F65" i="7"/>
  <c r="F63" i="7"/>
  <c r="F84" i="7"/>
  <c r="BA84" i="7" s="1"/>
  <c r="F43" i="7"/>
  <c r="BR43" i="7" s="1"/>
  <c r="F40" i="7"/>
  <c r="BR40" i="7" s="1"/>
  <c r="F70" i="7"/>
  <c r="BA70" i="7" s="1"/>
  <c r="F59" i="7"/>
  <c r="F86" i="7"/>
  <c r="BA86" i="7" s="1"/>
  <c r="F60" i="7"/>
  <c r="F54" i="7"/>
  <c r="F108" i="7"/>
  <c r="BA108" i="7" s="1"/>
  <c r="F87" i="7"/>
  <c r="BA87" i="7" s="1"/>
  <c r="F99" i="7"/>
  <c r="BA99" i="7" s="1"/>
  <c r="F97" i="7"/>
  <c r="BA97" i="7" s="1"/>
  <c r="F82" i="7"/>
  <c r="BA82" i="7" s="1"/>
  <c r="F80" i="7"/>
  <c r="BA80" i="7" s="1"/>
  <c r="F90" i="7"/>
  <c r="BA90" i="7" s="1"/>
  <c r="F88" i="7"/>
  <c r="BA88" i="7" s="1"/>
  <c r="F85" i="7"/>
  <c r="BA85" i="7" s="1"/>
  <c r="F106" i="7"/>
  <c r="BA106" i="7" s="1"/>
  <c r="F104" i="7"/>
  <c r="BA104" i="7" s="1"/>
  <c r="F101" i="7"/>
  <c r="BA101" i="7" s="1"/>
  <c r="F57" i="7"/>
  <c r="F55" i="7"/>
  <c r="F75" i="7"/>
  <c r="BA75" i="7" s="1"/>
  <c r="F102" i="7"/>
  <c r="BA102" i="7" s="1"/>
  <c r="F49" i="7"/>
  <c r="F47" i="7"/>
  <c r="BR47" i="7" s="1"/>
  <c r="F58" i="7"/>
  <c r="F56" i="7"/>
  <c r="F61" i="7"/>
  <c r="F74" i="7"/>
  <c r="BA74" i="7" s="1"/>
  <c r="F72" i="7"/>
  <c r="BA72" i="7" s="1"/>
  <c r="F78" i="7"/>
  <c r="BA78" i="7" s="1"/>
  <c r="F51" i="7"/>
  <c r="F103" i="7"/>
  <c r="BA103" i="7" s="1"/>
  <c r="F46" i="7"/>
  <c r="BR46" i="7" s="1"/>
  <c r="G109" i="7"/>
  <c r="BF102" i="7" l="1"/>
  <c r="BW27" i="7"/>
  <c r="BF90" i="7"/>
  <c r="BF98" i="7"/>
  <c r="BF100" i="7"/>
  <c r="BW18" i="7"/>
  <c r="BW23" i="7"/>
  <c r="AQ90" i="7"/>
  <c r="AS90" i="7" s="1"/>
  <c r="AI90" i="7"/>
  <c r="AK90" i="7" s="1"/>
  <c r="AQ95" i="7"/>
  <c r="AS95" i="7" s="1"/>
  <c r="AI95" i="7"/>
  <c r="AK95" i="7" s="1"/>
  <c r="BW17" i="7"/>
  <c r="BF105" i="7"/>
  <c r="BF92" i="7"/>
  <c r="BF96" i="7"/>
  <c r="BW22" i="7"/>
  <c r="AI96" i="7"/>
  <c r="AK96" i="7" s="1"/>
  <c r="AQ96" i="7"/>
  <c r="AS96" i="7" s="1"/>
  <c r="BW21" i="7"/>
  <c r="AQ103" i="7"/>
  <c r="AS103" i="7" s="1"/>
  <c r="AI103" i="7"/>
  <c r="AK103" i="7" s="1"/>
  <c r="AI100" i="7"/>
  <c r="AK100" i="7" s="1"/>
  <c r="AQ100" i="7"/>
  <c r="AS100" i="7" s="1"/>
  <c r="BW12" i="7"/>
  <c r="AQ99" i="7"/>
  <c r="AS99" i="7" s="1"/>
  <c r="AI99" i="7"/>
  <c r="AK99" i="7" s="1"/>
  <c r="BF107" i="7"/>
  <c r="BW26" i="7"/>
  <c r="AQ91" i="7"/>
  <c r="AS91" i="7" s="1"/>
  <c r="AI91" i="7"/>
  <c r="AK91" i="7" s="1"/>
  <c r="AI97" i="7"/>
  <c r="AK97" i="7" s="1"/>
  <c r="AQ97" i="7"/>
  <c r="AS97" i="7" s="1"/>
  <c r="BF101" i="7"/>
  <c r="BF97" i="7"/>
  <c r="BF95" i="7"/>
  <c r="AQ105" i="7"/>
  <c r="AS105" i="7" s="1"/>
  <c r="AI105" i="7"/>
  <c r="AK105" i="7" s="1"/>
  <c r="AI94" i="7"/>
  <c r="AK94" i="7" s="1"/>
  <c r="AQ94" i="7"/>
  <c r="AS94" i="7" s="1"/>
  <c r="BW14" i="7"/>
  <c r="AQ92" i="7"/>
  <c r="AS92" i="7" s="1"/>
  <c r="AI92" i="7"/>
  <c r="AK92" i="7" s="1"/>
  <c r="BF104" i="7"/>
  <c r="BF94" i="7"/>
  <c r="BF89" i="7"/>
  <c r="AI108" i="7"/>
  <c r="AK108" i="7" s="1"/>
  <c r="AQ108" i="7"/>
  <c r="AS108" i="7" s="1"/>
  <c r="AI93" i="7"/>
  <c r="AK93" i="7" s="1"/>
  <c r="AQ93" i="7"/>
  <c r="AS93" i="7" s="1"/>
  <c r="AQ107" i="7"/>
  <c r="AS107" i="7" s="1"/>
  <c r="AI107" i="7"/>
  <c r="AK107" i="7" s="1"/>
  <c r="BF99" i="7"/>
  <c r="BF103" i="7"/>
  <c r="BF106" i="7"/>
  <c r="BF91" i="7"/>
  <c r="BI9" i="7"/>
  <c r="BR9" i="7"/>
  <c r="BW25" i="7"/>
  <c r="AI101" i="7"/>
  <c r="AK101" i="7" s="1"/>
  <c r="AQ101" i="7"/>
  <c r="AS101" i="7" s="1"/>
  <c r="AI98" i="7"/>
  <c r="AK98" i="7" s="1"/>
  <c r="AQ98" i="7"/>
  <c r="AS98" i="7" s="1"/>
  <c r="BW13" i="7"/>
  <c r="BW20" i="7"/>
  <c r="BW10" i="7"/>
  <c r="BF93" i="7"/>
  <c r="BW28" i="7"/>
  <c r="BF108" i="7"/>
  <c r="BW16" i="7"/>
  <c r="BW11" i="7"/>
  <c r="BW24" i="7"/>
  <c r="AQ104" i="7"/>
  <c r="AS104" i="7" s="1"/>
  <c r="AI104" i="7"/>
  <c r="AK104" i="7" s="1"/>
  <c r="BW15" i="7"/>
  <c r="AI89" i="7"/>
  <c r="AK89" i="7" s="1"/>
  <c r="AQ89" i="7"/>
  <c r="AS89" i="7" s="1"/>
  <c r="AQ106" i="7"/>
  <c r="AS106" i="7" s="1"/>
  <c r="AI106" i="7"/>
  <c r="AK106" i="7" s="1"/>
  <c r="AI102" i="7"/>
  <c r="AK102" i="7" s="1"/>
  <c r="AQ102" i="7"/>
  <c r="AS102" i="7" s="1"/>
  <c r="BW19" i="7"/>
  <c r="BF82" i="7"/>
  <c r="AI76" i="7"/>
  <c r="AK76" i="7" s="1"/>
  <c r="AQ76" i="7"/>
  <c r="AS76" i="7" s="1"/>
  <c r="BF72" i="7"/>
  <c r="BF75" i="7"/>
  <c r="BW42" i="7"/>
  <c r="AQ83" i="7"/>
  <c r="AS83" i="7" s="1"/>
  <c r="AI83" i="7"/>
  <c r="AK83" i="7" s="1"/>
  <c r="BF74" i="7"/>
  <c r="BF80" i="7"/>
  <c r="BF86" i="7"/>
  <c r="BF76" i="7"/>
  <c r="BF77" i="7"/>
  <c r="G34" i="7"/>
  <c r="S34" i="7" s="1"/>
  <c r="U34" i="7" s="1"/>
  <c r="BW32" i="7"/>
  <c r="BF70" i="7"/>
  <c r="BF83" i="7"/>
  <c r="BW39" i="7"/>
  <c r="BF73" i="7"/>
  <c r="AI69" i="7"/>
  <c r="AK69" i="7" s="1"/>
  <c r="AQ69" i="7"/>
  <c r="AS69" i="7" s="1"/>
  <c r="AI86" i="7"/>
  <c r="AK86" i="7" s="1"/>
  <c r="AQ86" i="7"/>
  <c r="AS86" i="7" s="1"/>
  <c r="AI79" i="7"/>
  <c r="AK79" i="7" s="1"/>
  <c r="AQ79" i="7"/>
  <c r="AS79" i="7" s="1"/>
  <c r="BW35" i="7"/>
  <c r="BW31" i="7"/>
  <c r="AQ88" i="7"/>
  <c r="AS88" i="7" s="1"/>
  <c r="AI88" i="7"/>
  <c r="AK88" i="7" s="1"/>
  <c r="AQ72" i="7"/>
  <c r="AS72" i="7" s="1"/>
  <c r="AI72" i="7"/>
  <c r="AK72" i="7" s="1"/>
  <c r="AQ87" i="7"/>
  <c r="AS87" i="7" s="1"/>
  <c r="AI87" i="7"/>
  <c r="AK87" i="7" s="1"/>
  <c r="AQ75" i="7"/>
  <c r="AS75" i="7" s="1"/>
  <c r="AI75" i="7"/>
  <c r="AK75" i="7" s="1"/>
  <c r="AQ71" i="7"/>
  <c r="AS71" i="7" s="1"/>
  <c r="AI71" i="7"/>
  <c r="AK71" i="7" s="1"/>
  <c r="BW46" i="7"/>
  <c r="BW40" i="7"/>
  <c r="BF69" i="7"/>
  <c r="BW41" i="7"/>
  <c r="AQ84" i="7"/>
  <c r="AS84" i="7" s="1"/>
  <c r="AI84" i="7"/>
  <c r="AK84" i="7" s="1"/>
  <c r="AI78" i="7"/>
  <c r="AK78" i="7" s="1"/>
  <c r="AQ78" i="7"/>
  <c r="AS78" i="7" s="1"/>
  <c r="BW29" i="7"/>
  <c r="AQ80" i="7"/>
  <c r="AS80" i="7" s="1"/>
  <c r="AI80" i="7"/>
  <c r="AK80" i="7" s="1"/>
  <c r="BW38" i="7"/>
  <c r="AI77" i="7"/>
  <c r="AK77" i="7" s="1"/>
  <c r="AQ77" i="7"/>
  <c r="AS77" i="7" s="1"/>
  <c r="BF81" i="7"/>
  <c r="BW36" i="7"/>
  <c r="BF87" i="7"/>
  <c r="BW43" i="7"/>
  <c r="BW44" i="7"/>
  <c r="AI81" i="7"/>
  <c r="AK81" i="7" s="1"/>
  <c r="AQ81" i="7"/>
  <c r="AS81" i="7" s="1"/>
  <c r="BW30" i="7"/>
  <c r="AQ70" i="7"/>
  <c r="AS70" i="7" s="1"/>
  <c r="AI70" i="7"/>
  <c r="AK70" i="7" s="1"/>
  <c r="AQ82" i="7"/>
  <c r="AS82" i="7" s="1"/>
  <c r="AI82" i="7"/>
  <c r="AK82" i="7" s="1"/>
  <c r="BF71" i="7"/>
  <c r="BW33" i="7"/>
  <c r="BF85" i="7"/>
  <c r="BF84" i="7"/>
  <c r="BW45" i="7"/>
  <c r="BF79" i="7"/>
  <c r="AQ74" i="7"/>
  <c r="AS74" i="7" s="1"/>
  <c r="AI74" i="7"/>
  <c r="AK74" i="7" s="1"/>
  <c r="BW37" i="7"/>
  <c r="BW34" i="7"/>
  <c r="BW47" i="7"/>
  <c r="BF78" i="7"/>
  <c r="BF88" i="7"/>
  <c r="BW48" i="7"/>
  <c r="AQ73" i="7"/>
  <c r="AS73" i="7" s="1"/>
  <c r="AI73" i="7"/>
  <c r="AK73" i="7" s="1"/>
  <c r="AI85" i="7"/>
  <c r="AK85" i="7" s="1"/>
  <c r="AQ85" i="7"/>
  <c r="AS85" i="7" s="1"/>
  <c r="BI65" i="7"/>
  <c r="BR65" i="7"/>
  <c r="BA65" i="7"/>
  <c r="AQ62" i="7"/>
  <c r="AS62" i="7" s="1"/>
  <c r="AI62" i="7"/>
  <c r="AK62" i="7" s="1"/>
  <c r="BI55" i="7"/>
  <c r="BA55" i="7"/>
  <c r="BR55" i="7"/>
  <c r="AQ66" i="7"/>
  <c r="AS66" i="7" s="1"/>
  <c r="AI66" i="7"/>
  <c r="AK66" i="7" s="1"/>
  <c r="BI61" i="7"/>
  <c r="BA61" i="7"/>
  <c r="BR61" i="7"/>
  <c r="BI57" i="7"/>
  <c r="BR57" i="7"/>
  <c r="BA57" i="7"/>
  <c r="BI59" i="7"/>
  <c r="BA59" i="7"/>
  <c r="BR59" i="7"/>
  <c r="BI68" i="7"/>
  <c r="BR68" i="7"/>
  <c r="BA68" i="7"/>
  <c r="AI64" i="7"/>
  <c r="AK64" i="7" s="1"/>
  <c r="AQ64" i="7"/>
  <c r="AS64" i="7" s="1"/>
  <c r="AQ53" i="7"/>
  <c r="AS53" i="7" s="1"/>
  <c r="AI53" i="7"/>
  <c r="AK53" i="7" s="1"/>
  <c r="AQ58" i="7"/>
  <c r="AS58" i="7" s="1"/>
  <c r="AI58" i="7"/>
  <c r="AK58" i="7" s="1"/>
  <c r="AI51" i="7"/>
  <c r="AK51" i="7" s="1"/>
  <c r="AQ51" i="7"/>
  <c r="AS51" i="7" s="1"/>
  <c r="BI56" i="7"/>
  <c r="BR56" i="7"/>
  <c r="BA56" i="7"/>
  <c r="AQ49" i="7"/>
  <c r="AS49" i="7" s="1"/>
  <c r="AI49" i="7"/>
  <c r="AK49" i="7" s="1"/>
  <c r="AI61" i="7"/>
  <c r="AK61" i="7" s="1"/>
  <c r="AQ61" i="7"/>
  <c r="AS61" i="7" s="1"/>
  <c r="AQ54" i="7"/>
  <c r="AS54" i="7" s="1"/>
  <c r="AI54" i="7"/>
  <c r="AK54" i="7" s="1"/>
  <c r="AI65" i="7"/>
  <c r="AK65" i="7" s="1"/>
  <c r="AQ65" i="7"/>
  <c r="AS65" i="7" s="1"/>
  <c r="AI60" i="7"/>
  <c r="AK60" i="7" s="1"/>
  <c r="AQ60" i="7"/>
  <c r="AS60" i="7" s="1"/>
  <c r="BI58" i="7"/>
  <c r="BR58" i="7"/>
  <c r="BA58" i="7"/>
  <c r="BI67" i="7"/>
  <c r="BA67" i="7"/>
  <c r="BR67" i="7"/>
  <c r="AI68" i="7"/>
  <c r="AK68" i="7" s="1"/>
  <c r="AQ68" i="7"/>
  <c r="AS68" i="7" s="1"/>
  <c r="AI55" i="7"/>
  <c r="AK55" i="7" s="1"/>
  <c r="AQ55" i="7"/>
  <c r="AS55" i="7" s="1"/>
  <c r="BI60" i="7"/>
  <c r="BR60" i="7"/>
  <c r="BA60" i="7"/>
  <c r="BI62" i="7"/>
  <c r="BR62" i="7"/>
  <c r="BA62" i="7"/>
  <c r="AI50" i="7"/>
  <c r="AK50" i="7" s="1"/>
  <c r="AQ50" i="7"/>
  <c r="AS50" i="7" s="1"/>
  <c r="AQ57" i="7"/>
  <c r="AS57" i="7" s="1"/>
  <c r="AI57" i="7"/>
  <c r="AK57" i="7" s="1"/>
  <c r="BI64" i="7"/>
  <c r="BA64" i="7"/>
  <c r="BR64" i="7"/>
  <c r="BI49" i="7"/>
  <c r="BA49" i="7"/>
  <c r="BR49" i="7"/>
  <c r="BI66" i="7"/>
  <c r="BR66" i="7"/>
  <c r="BA66" i="7"/>
  <c r="BI52" i="7"/>
  <c r="BR52" i="7"/>
  <c r="BA52" i="7"/>
  <c r="AQ63" i="7"/>
  <c r="AS63" i="7" s="1"/>
  <c r="AI63" i="7"/>
  <c r="AK63" i="7" s="1"/>
  <c r="AI52" i="7"/>
  <c r="AK52" i="7" s="1"/>
  <c r="AQ52" i="7"/>
  <c r="AS52" i="7" s="1"/>
  <c r="AI56" i="7"/>
  <c r="AK56" i="7" s="1"/>
  <c r="AQ56" i="7"/>
  <c r="AS56" i="7" s="1"/>
  <c r="BI51" i="7"/>
  <c r="BA51" i="7"/>
  <c r="BR51" i="7"/>
  <c r="BI54" i="7"/>
  <c r="BR54" i="7"/>
  <c r="BA54" i="7"/>
  <c r="BI63" i="7"/>
  <c r="BR63" i="7"/>
  <c r="BA63" i="7"/>
  <c r="BI53" i="7"/>
  <c r="BR53" i="7"/>
  <c r="BA53" i="7"/>
  <c r="BI50" i="7"/>
  <c r="BA50" i="7"/>
  <c r="BR50" i="7"/>
  <c r="AQ59" i="7"/>
  <c r="AS59" i="7" s="1"/>
  <c r="AI59" i="7"/>
  <c r="AK59" i="7" s="1"/>
  <c r="AI67" i="7"/>
  <c r="AK67" i="7" s="1"/>
  <c r="AQ67" i="7"/>
  <c r="AS67" i="7" s="1"/>
  <c r="BI72" i="7"/>
  <c r="BR72" i="7"/>
  <c r="BI82" i="7"/>
  <c r="BR82" i="7"/>
  <c r="BI81" i="7"/>
  <c r="BR81" i="7"/>
  <c r="BI71" i="7"/>
  <c r="BR71" i="7"/>
  <c r="BI34" i="7"/>
  <c r="BA34" i="7"/>
  <c r="BI36" i="7"/>
  <c r="BA36" i="7"/>
  <c r="BI33" i="7"/>
  <c r="BA33" i="7"/>
  <c r="BI86" i="7"/>
  <c r="BR86" i="7"/>
  <c r="BI70" i="7"/>
  <c r="BR70" i="7"/>
  <c r="BI83" i="7"/>
  <c r="BR83" i="7"/>
  <c r="BI39" i="7"/>
  <c r="BA39" i="7"/>
  <c r="BI73" i="7"/>
  <c r="BR73" i="7"/>
  <c r="BI35" i="7"/>
  <c r="BA35" i="7"/>
  <c r="BI31" i="7"/>
  <c r="BA31" i="7"/>
  <c r="AQ40" i="7"/>
  <c r="AS40" i="7" s="1"/>
  <c r="AI40" i="7"/>
  <c r="AK40" i="7" s="1"/>
  <c r="BI80" i="7"/>
  <c r="BR80" i="7"/>
  <c r="BI32" i="7"/>
  <c r="BA32" i="7"/>
  <c r="BI69" i="7"/>
  <c r="BR69" i="7"/>
  <c r="AQ41" i="7"/>
  <c r="AS41" i="7" s="1"/>
  <c r="AI41" i="7"/>
  <c r="AK41" i="7" s="1"/>
  <c r="AI39" i="7"/>
  <c r="AK39" i="7" s="1"/>
  <c r="AQ39" i="7"/>
  <c r="AS39" i="7" s="1"/>
  <c r="BI29" i="7"/>
  <c r="BA29" i="7"/>
  <c r="AI47" i="7"/>
  <c r="AK47" i="7" s="1"/>
  <c r="AQ47" i="7"/>
  <c r="AS47" i="7" s="1"/>
  <c r="BI38" i="7"/>
  <c r="BA38" i="7"/>
  <c r="AQ46" i="7"/>
  <c r="AS46" i="7" s="1"/>
  <c r="AI46" i="7"/>
  <c r="AK46" i="7" s="1"/>
  <c r="BI77" i="7"/>
  <c r="BR77" i="7"/>
  <c r="BI46" i="7"/>
  <c r="BA46" i="7"/>
  <c r="BI40" i="7"/>
  <c r="BA40" i="7"/>
  <c r="BI47" i="7"/>
  <c r="BA47" i="7"/>
  <c r="BI87" i="7"/>
  <c r="BR87" i="7"/>
  <c r="BI43" i="7"/>
  <c r="BA43" i="7"/>
  <c r="BI44" i="7"/>
  <c r="BA44" i="7"/>
  <c r="BI30" i="7"/>
  <c r="BA30" i="7"/>
  <c r="BI42" i="7"/>
  <c r="BA42" i="7"/>
  <c r="AI48" i="7"/>
  <c r="AK48" i="7" s="1"/>
  <c r="AQ48" i="7"/>
  <c r="AS48" i="7" s="1"/>
  <c r="BI74" i="7"/>
  <c r="BR74" i="7"/>
  <c r="AQ44" i="7"/>
  <c r="AS44" i="7" s="1"/>
  <c r="AI44" i="7"/>
  <c r="AK44" i="7" s="1"/>
  <c r="BI41" i="7"/>
  <c r="BA41" i="7"/>
  <c r="BI85" i="7"/>
  <c r="BR85" i="7"/>
  <c r="BI84" i="7"/>
  <c r="BR84" i="7"/>
  <c r="BI45" i="7"/>
  <c r="BA45" i="7"/>
  <c r="BI79" i="7"/>
  <c r="BR79" i="7"/>
  <c r="AI43" i="7"/>
  <c r="AK43" i="7" s="1"/>
  <c r="AQ43" i="7"/>
  <c r="AS43" i="7" s="1"/>
  <c r="BI37" i="7"/>
  <c r="BA37" i="7"/>
  <c r="AN42" i="7"/>
  <c r="BI75" i="7"/>
  <c r="BR75" i="7"/>
  <c r="BI76" i="7"/>
  <c r="BR76" i="7"/>
  <c r="BI78" i="7"/>
  <c r="BR78" i="7"/>
  <c r="BI88" i="7"/>
  <c r="BR88" i="7"/>
  <c r="BI48" i="7"/>
  <c r="BA48" i="7"/>
  <c r="AQ45" i="7"/>
  <c r="AS45" i="7" s="1"/>
  <c r="AI45" i="7"/>
  <c r="AK45" i="7" s="1"/>
  <c r="AV42" i="7"/>
  <c r="BI93" i="7"/>
  <c r="BR93" i="7"/>
  <c r="BI24" i="7"/>
  <c r="BA24" i="7"/>
  <c r="BI25" i="7"/>
  <c r="BA25" i="7"/>
  <c r="BI90" i="7"/>
  <c r="BR90" i="7"/>
  <c r="BI27" i="7"/>
  <c r="BA27" i="7"/>
  <c r="BI28" i="7"/>
  <c r="BA28" i="7"/>
  <c r="BI92" i="7"/>
  <c r="BR92" i="7"/>
  <c r="BI23" i="7"/>
  <c r="BA23" i="7"/>
  <c r="BI22" i="7"/>
  <c r="BA22" i="7"/>
  <c r="BI95" i="7"/>
  <c r="BR95" i="7"/>
  <c r="BI26" i="7"/>
  <c r="BA26" i="7"/>
  <c r="BI91" i="7"/>
  <c r="BR91" i="7"/>
  <c r="BI94" i="7"/>
  <c r="BR94" i="7"/>
  <c r="BI89" i="7"/>
  <c r="BR89" i="7"/>
  <c r="BI101" i="7"/>
  <c r="BR101" i="7"/>
  <c r="BI108" i="7"/>
  <c r="BR108" i="7"/>
  <c r="BI98" i="7"/>
  <c r="BR98" i="7"/>
  <c r="BI100" i="7"/>
  <c r="BR100" i="7"/>
  <c r="BI105" i="7"/>
  <c r="BR105" i="7"/>
  <c r="BI102" i="7"/>
  <c r="BR102" i="7"/>
  <c r="BI107" i="7"/>
  <c r="BR107" i="7"/>
  <c r="BI96" i="7"/>
  <c r="BR96" i="7"/>
  <c r="BI97" i="7"/>
  <c r="BR97" i="7"/>
  <c r="BI104" i="7"/>
  <c r="BR104" i="7"/>
  <c r="BI99" i="7"/>
  <c r="BR99" i="7"/>
  <c r="BI103" i="7"/>
  <c r="BR103" i="7"/>
  <c r="BI106" i="7"/>
  <c r="BR106" i="7"/>
  <c r="BA13" i="7"/>
  <c r="BF13" i="7" s="1"/>
  <c r="BI13" i="7"/>
  <c r="BA20" i="7"/>
  <c r="BF20" i="7" s="1"/>
  <c r="BI20" i="7"/>
  <c r="BA10" i="7"/>
  <c r="BF10" i="7" s="1"/>
  <c r="BI10" i="7"/>
  <c r="BA16" i="7"/>
  <c r="BF16" i="7" s="1"/>
  <c r="BI16" i="7"/>
  <c r="BA11" i="7"/>
  <c r="BF11" i="7" s="1"/>
  <c r="BI11" i="7"/>
  <c r="BA15" i="7"/>
  <c r="BF15" i="7" s="1"/>
  <c r="BI15" i="7"/>
  <c r="BA19" i="7"/>
  <c r="BF19" i="7" s="1"/>
  <c r="BI19" i="7"/>
  <c r="BA18" i="7"/>
  <c r="BF18" i="7" s="1"/>
  <c r="BI18" i="7"/>
  <c r="BA17" i="7"/>
  <c r="BF17" i="7" s="1"/>
  <c r="BI17" i="7"/>
  <c r="BA21" i="7"/>
  <c r="BF21" i="7" s="1"/>
  <c r="BI21" i="7"/>
  <c r="BA12" i="7"/>
  <c r="BF12" i="7" s="1"/>
  <c r="BI12" i="7"/>
  <c r="BA14" i="7"/>
  <c r="BF14" i="7" s="1"/>
  <c r="BI14" i="7"/>
  <c r="BA9" i="7"/>
  <c r="G9" i="7"/>
  <c r="S9" i="7" s="1"/>
  <c r="U9" i="7" s="1"/>
  <c r="G25" i="7"/>
  <c r="G37" i="7"/>
  <c r="G13" i="7"/>
  <c r="G20" i="7"/>
  <c r="S20" i="7" s="1"/>
  <c r="U20" i="7" s="1"/>
  <c r="G10" i="7"/>
  <c r="S10" i="7" s="1"/>
  <c r="U10" i="7" s="1"/>
  <c r="X10" i="7" s="1"/>
  <c r="G24" i="7"/>
  <c r="G15" i="7"/>
  <c r="G27" i="7"/>
  <c r="G18" i="7"/>
  <c r="S18" i="7" s="1"/>
  <c r="U18" i="7" s="1"/>
  <c r="X18" i="7" s="1"/>
  <c r="G23" i="7"/>
  <c r="G32" i="7"/>
  <c r="G96" i="7"/>
  <c r="G22" i="7"/>
  <c r="G21" i="7"/>
  <c r="S21" i="7" s="1"/>
  <c r="U21" i="7" s="1"/>
  <c r="G33" i="7"/>
  <c r="G12" i="7"/>
  <c r="AA12" i="7" s="1"/>
  <c r="AC12" i="7" s="1"/>
  <c r="AF12" i="7" s="1"/>
  <c r="G26" i="7"/>
  <c r="G35" i="7"/>
  <c r="G31" i="7"/>
  <c r="G29" i="7"/>
  <c r="G38" i="7"/>
  <c r="G14" i="7"/>
  <c r="S14" i="7" s="1"/>
  <c r="U14" i="7" s="1"/>
  <c r="X14" i="7" s="1"/>
  <c r="G30" i="7"/>
  <c r="L25" i="7"/>
  <c r="AJ25" i="7" s="1"/>
  <c r="AL25" i="7" s="1"/>
  <c r="AO25" i="7" s="1"/>
  <c r="L18" i="7"/>
  <c r="L26" i="7"/>
  <c r="AJ26" i="7" s="1"/>
  <c r="AL26" i="7" s="1"/>
  <c r="AO26" i="7" s="1"/>
  <c r="L30" i="7"/>
  <c r="AJ30" i="7" s="1"/>
  <c r="AL30" i="7" s="1"/>
  <c r="AO30" i="7" s="1"/>
  <c r="M84" i="7"/>
  <c r="AR84" i="7" s="1"/>
  <c r="AT84" i="7" s="1"/>
  <c r="AW84" i="7" s="1"/>
  <c r="M105" i="7"/>
  <c r="AR105" i="7" s="1"/>
  <c r="AT105" i="7" s="1"/>
  <c r="AW105" i="7" s="1"/>
  <c r="M64" i="7"/>
  <c r="AR64" i="7" s="1"/>
  <c r="AT64" i="7" s="1"/>
  <c r="AW64" i="7" s="1"/>
  <c r="M44" i="7"/>
  <c r="AR44" i="7" s="1"/>
  <c r="AT44" i="7" s="1"/>
  <c r="AW44" i="7" s="1"/>
  <c r="L27" i="7"/>
  <c r="AJ27" i="7" s="1"/>
  <c r="AL27" i="7" s="1"/>
  <c r="AO27" i="7" s="1"/>
  <c r="L11" i="7"/>
  <c r="L15" i="7"/>
  <c r="L34" i="7"/>
  <c r="AJ34" i="7" s="1"/>
  <c r="AL34" i="7" s="1"/>
  <c r="AO34" i="7" s="1"/>
  <c r="L16" i="7"/>
  <c r="AJ16" i="7" s="1"/>
  <c r="AL16" i="7" s="1"/>
  <c r="AO16" i="7" s="1"/>
  <c r="L9" i="7"/>
  <c r="AJ9" i="7" s="1"/>
  <c r="L28" i="7"/>
  <c r="AJ28" i="7" s="1"/>
  <c r="AL28" i="7" s="1"/>
  <c r="AO28" i="7" s="1"/>
  <c r="M93" i="7"/>
  <c r="AR93" i="7" s="1"/>
  <c r="AT93" i="7" s="1"/>
  <c r="AW93" i="7" s="1"/>
  <c r="L36" i="7"/>
  <c r="AJ36" i="7" s="1"/>
  <c r="AL36" i="7" s="1"/>
  <c r="AO36" i="7" s="1"/>
  <c r="L17" i="7"/>
  <c r="L19" i="7"/>
  <c r="L79" i="7"/>
  <c r="AJ79" i="7" s="1"/>
  <c r="AL79" i="7" s="1"/>
  <c r="AO79" i="7" s="1"/>
  <c r="L72" i="7"/>
  <c r="AJ72" i="7" s="1"/>
  <c r="AL72" i="7" s="1"/>
  <c r="AO72" i="7" s="1"/>
  <c r="L62" i="7"/>
  <c r="AJ62" i="7" s="1"/>
  <c r="AL62" i="7" s="1"/>
  <c r="AO62" i="7" s="1"/>
  <c r="L95" i="7"/>
  <c r="AJ95" i="7" s="1"/>
  <c r="AL95" i="7" s="1"/>
  <c r="AO95" i="7" s="1"/>
  <c r="L93" i="7"/>
  <c r="AJ93" i="7" s="1"/>
  <c r="AL93" i="7" s="1"/>
  <c r="AO93" i="7" s="1"/>
  <c r="L54" i="7"/>
  <c r="AJ54" i="7" s="1"/>
  <c r="AL54" i="7" s="1"/>
  <c r="AO54" i="7" s="1"/>
  <c r="L67" i="7"/>
  <c r="AJ67" i="7" s="1"/>
  <c r="AL67" i="7" s="1"/>
  <c r="AO67" i="7" s="1"/>
  <c r="L45" i="7"/>
  <c r="AJ45" i="7" s="1"/>
  <c r="AL45" i="7" s="1"/>
  <c r="AO45" i="7" s="1"/>
  <c r="M66" i="7"/>
  <c r="AR66" i="7" s="1"/>
  <c r="AT66" i="7" s="1"/>
  <c r="AW66" i="7" s="1"/>
  <c r="L38" i="7"/>
  <c r="AJ38" i="7" s="1"/>
  <c r="AL38" i="7" s="1"/>
  <c r="AO38" i="7" s="1"/>
  <c r="L32" i="7"/>
  <c r="AJ32" i="7" s="1"/>
  <c r="AL32" i="7" s="1"/>
  <c r="AO32" i="7" s="1"/>
  <c r="L82" i="7"/>
  <c r="AJ82" i="7" s="1"/>
  <c r="AL82" i="7" s="1"/>
  <c r="AO82" i="7" s="1"/>
  <c r="L46" i="7"/>
  <c r="AJ46" i="7" s="1"/>
  <c r="AL46" i="7" s="1"/>
  <c r="AO46" i="7" s="1"/>
  <c r="L87" i="7"/>
  <c r="AJ87" i="7" s="1"/>
  <c r="AL87" i="7" s="1"/>
  <c r="AO87" i="7" s="1"/>
  <c r="L103" i="7"/>
  <c r="AJ103" i="7" s="1"/>
  <c r="AL103" i="7" s="1"/>
  <c r="AO103" i="7" s="1"/>
  <c r="L56" i="7"/>
  <c r="AJ56" i="7" s="1"/>
  <c r="AL56" i="7" s="1"/>
  <c r="AO56" i="7" s="1"/>
  <c r="L77" i="7"/>
  <c r="AJ77" i="7" s="1"/>
  <c r="AL77" i="7" s="1"/>
  <c r="AO77" i="7" s="1"/>
  <c r="L105" i="7"/>
  <c r="AJ105" i="7" s="1"/>
  <c r="AL105" i="7" s="1"/>
  <c r="AO105" i="7" s="1"/>
  <c r="L94" i="7"/>
  <c r="AJ94" i="7" s="1"/>
  <c r="AL94" i="7" s="1"/>
  <c r="AO94" i="7" s="1"/>
  <c r="L24" i="7"/>
  <c r="AJ24" i="7" s="1"/>
  <c r="AL24" i="7" s="1"/>
  <c r="AO24" i="7" s="1"/>
  <c r="M108" i="7"/>
  <c r="AR108" i="7" s="1"/>
  <c r="AT108" i="7" s="1"/>
  <c r="AW108" i="7" s="1"/>
  <c r="L21" i="7"/>
  <c r="AJ21" i="7" s="1"/>
  <c r="AL21" i="7" s="1"/>
  <c r="AO21" i="7" s="1"/>
  <c r="M48" i="7"/>
  <c r="AR48" i="7" s="1"/>
  <c r="AT48" i="7" s="1"/>
  <c r="AW48" i="7" s="1"/>
  <c r="M55" i="7"/>
  <c r="AR55" i="7" s="1"/>
  <c r="AT55" i="7" s="1"/>
  <c r="AW55" i="7" s="1"/>
  <c r="L14" i="7"/>
  <c r="L33" i="7"/>
  <c r="AJ33" i="7" s="1"/>
  <c r="AL33" i="7" s="1"/>
  <c r="AO33" i="7" s="1"/>
  <c r="M40" i="7"/>
  <c r="AR40" i="7" s="1"/>
  <c r="AT40" i="7" s="1"/>
  <c r="AW40" i="7" s="1"/>
  <c r="L49" i="7"/>
  <c r="AJ49" i="7" s="1"/>
  <c r="AL49" i="7" s="1"/>
  <c r="AO49" i="7" s="1"/>
  <c r="L63" i="7"/>
  <c r="AJ63" i="7" s="1"/>
  <c r="AL63" i="7" s="1"/>
  <c r="AO63" i="7" s="1"/>
  <c r="L85" i="7"/>
  <c r="AJ85" i="7" s="1"/>
  <c r="AL85" i="7" s="1"/>
  <c r="AO85" i="7" s="1"/>
  <c r="L71" i="7"/>
  <c r="AJ71" i="7" s="1"/>
  <c r="AL71" i="7" s="1"/>
  <c r="AO71" i="7" s="1"/>
  <c r="L88" i="7"/>
  <c r="AJ88" i="7" s="1"/>
  <c r="AL88" i="7" s="1"/>
  <c r="AO88" i="7" s="1"/>
  <c r="L107" i="7"/>
  <c r="AJ107" i="7" s="1"/>
  <c r="AL107" i="7" s="1"/>
  <c r="AO107" i="7" s="1"/>
  <c r="L52" i="7"/>
  <c r="AJ52" i="7" s="1"/>
  <c r="AL52" i="7" s="1"/>
  <c r="AO52" i="7" s="1"/>
  <c r="L81" i="7"/>
  <c r="AJ81" i="7" s="1"/>
  <c r="AL81" i="7" s="1"/>
  <c r="AO81" i="7" s="1"/>
  <c r="L91" i="7"/>
  <c r="AJ91" i="7" s="1"/>
  <c r="AL91" i="7" s="1"/>
  <c r="AO91" i="7" s="1"/>
  <c r="L42" i="7"/>
  <c r="AJ42" i="7" s="1"/>
  <c r="AL42" i="7" s="1"/>
  <c r="AO42" i="7" s="1"/>
  <c r="L106" i="7"/>
  <c r="AJ106" i="7" s="1"/>
  <c r="AL106" i="7" s="1"/>
  <c r="AO106" i="7" s="1"/>
  <c r="L60" i="7"/>
  <c r="AJ60" i="7" s="1"/>
  <c r="AL60" i="7" s="1"/>
  <c r="AO60" i="7" s="1"/>
  <c r="L99" i="7"/>
  <c r="AJ99" i="7" s="1"/>
  <c r="AL99" i="7" s="1"/>
  <c r="AO99" i="7" s="1"/>
  <c r="L80" i="7"/>
  <c r="AJ80" i="7" s="1"/>
  <c r="AL80" i="7" s="1"/>
  <c r="AO80" i="7" s="1"/>
  <c r="L40" i="7"/>
  <c r="AJ40" i="7" s="1"/>
  <c r="AL40" i="7" s="1"/>
  <c r="AO40" i="7" s="1"/>
  <c r="L92" i="7"/>
  <c r="AJ92" i="7" s="1"/>
  <c r="AL92" i="7" s="1"/>
  <c r="AO92" i="7" s="1"/>
  <c r="L75" i="7"/>
  <c r="AJ75" i="7" s="1"/>
  <c r="AL75" i="7" s="1"/>
  <c r="AO75" i="7" s="1"/>
  <c r="L47" i="7"/>
  <c r="AJ47" i="7" s="1"/>
  <c r="AL47" i="7" s="1"/>
  <c r="AO47" i="7" s="1"/>
  <c r="L35" i="7"/>
  <c r="AJ35" i="7" s="1"/>
  <c r="AL35" i="7" s="1"/>
  <c r="AO35" i="7" s="1"/>
  <c r="L13" i="7"/>
  <c r="M54" i="7"/>
  <c r="AR54" i="7" s="1"/>
  <c r="AT54" i="7" s="1"/>
  <c r="AW54" i="7" s="1"/>
  <c r="M75" i="7"/>
  <c r="AR75" i="7" s="1"/>
  <c r="AT75" i="7" s="1"/>
  <c r="AW75" i="7" s="1"/>
  <c r="L22" i="7"/>
  <c r="AJ22" i="7" s="1"/>
  <c r="AL22" i="7" s="1"/>
  <c r="AO22" i="7" s="1"/>
  <c r="L23" i="7"/>
  <c r="AJ23" i="7" s="1"/>
  <c r="AL23" i="7" s="1"/>
  <c r="AO23" i="7" s="1"/>
  <c r="M68" i="7"/>
  <c r="AR68" i="7" s="1"/>
  <c r="AT68" i="7" s="1"/>
  <c r="AW68" i="7" s="1"/>
  <c r="L29" i="7"/>
  <c r="AJ29" i="7" s="1"/>
  <c r="AL29" i="7" s="1"/>
  <c r="AO29" i="7" s="1"/>
  <c r="M91" i="7"/>
  <c r="AR91" i="7" s="1"/>
  <c r="AT91" i="7" s="1"/>
  <c r="AW91" i="7" s="1"/>
  <c r="M87" i="7"/>
  <c r="AR87" i="7" s="1"/>
  <c r="AT87" i="7" s="1"/>
  <c r="AW87" i="7" s="1"/>
  <c r="L12" i="7"/>
  <c r="L69" i="7"/>
  <c r="AJ69" i="7" s="1"/>
  <c r="AL69" i="7" s="1"/>
  <c r="AO69" i="7" s="1"/>
  <c r="L73" i="7"/>
  <c r="AJ73" i="7" s="1"/>
  <c r="AL73" i="7" s="1"/>
  <c r="AO73" i="7" s="1"/>
  <c r="L97" i="7"/>
  <c r="AJ97" i="7" s="1"/>
  <c r="AL97" i="7" s="1"/>
  <c r="AO97" i="7" s="1"/>
  <c r="L65" i="7"/>
  <c r="AJ65" i="7" s="1"/>
  <c r="AL65" i="7" s="1"/>
  <c r="AO65" i="7" s="1"/>
  <c r="L55" i="7"/>
  <c r="AJ55" i="7" s="1"/>
  <c r="AL55" i="7" s="1"/>
  <c r="AO55" i="7" s="1"/>
  <c r="L53" i="7"/>
  <c r="AJ53" i="7" s="1"/>
  <c r="AL53" i="7" s="1"/>
  <c r="AO53" i="7" s="1"/>
  <c r="L108" i="7"/>
  <c r="AJ108" i="7" s="1"/>
  <c r="AL108" i="7" s="1"/>
  <c r="AO108" i="7" s="1"/>
  <c r="L61" i="7"/>
  <c r="AJ61" i="7" s="1"/>
  <c r="AL61" i="7" s="1"/>
  <c r="AO61" i="7" s="1"/>
  <c r="L59" i="7"/>
  <c r="AJ59" i="7" s="1"/>
  <c r="AL59" i="7" s="1"/>
  <c r="AO59" i="7" s="1"/>
  <c r="L31" i="7"/>
  <c r="AJ31" i="7" s="1"/>
  <c r="AL31" i="7" s="1"/>
  <c r="AO31" i="7" s="1"/>
  <c r="M95" i="7"/>
  <c r="AR95" i="7" s="1"/>
  <c r="AT95" i="7" s="1"/>
  <c r="AW95" i="7" s="1"/>
  <c r="M63" i="7"/>
  <c r="AR63" i="7" s="1"/>
  <c r="AT63" i="7" s="1"/>
  <c r="AW63" i="7" s="1"/>
  <c r="L84" i="7"/>
  <c r="AJ84" i="7" s="1"/>
  <c r="AL84" i="7" s="1"/>
  <c r="AO84" i="7" s="1"/>
  <c r="L78" i="7"/>
  <c r="AJ78" i="7" s="1"/>
  <c r="AL78" i="7" s="1"/>
  <c r="AO78" i="7" s="1"/>
  <c r="L104" i="7"/>
  <c r="AJ104" i="7" s="1"/>
  <c r="AL104" i="7" s="1"/>
  <c r="AO104" i="7" s="1"/>
  <c r="L66" i="7"/>
  <c r="AJ66" i="7" s="1"/>
  <c r="AL66" i="7" s="1"/>
  <c r="AO66" i="7" s="1"/>
  <c r="L98" i="7"/>
  <c r="AJ98" i="7" s="1"/>
  <c r="AL98" i="7" s="1"/>
  <c r="AO98" i="7" s="1"/>
  <c r="L64" i="7"/>
  <c r="AJ64" i="7" s="1"/>
  <c r="AL64" i="7" s="1"/>
  <c r="AO64" i="7" s="1"/>
  <c r="L43" i="7"/>
  <c r="AJ43" i="7" s="1"/>
  <c r="AL43" i="7" s="1"/>
  <c r="AO43" i="7" s="1"/>
  <c r="L41" i="7"/>
  <c r="AJ41" i="7" s="1"/>
  <c r="AL41" i="7" s="1"/>
  <c r="AO41" i="7" s="1"/>
  <c r="L48" i="7"/>
  <c r="AJ48" i="7" s="1"/>
  <c r="AL48" i="7" s="1"/>
  <c r="AO48" i="7" s="1"/>
  <c r="M60" i="7"/>
  <c r="AR60" i="7" s="1"/>
  <c r="AT60" i="7" s="1"/>
  <c r="AW60" i="7" s="1"/>
  <c r="L20" i="7"/>
  <c r="AJ20" i="7" s="1"/>
  <c r="AL20" i="7" s="1"/>
  <c r="AO20" i="7" s="1"/>
  <c r="L10" i="7"/>
  <c r="L70" i="7"/>
  <c r="AJ70" i="7" s="1"/>
  <c r="AL70" i="7" s="1"/>
  <c r="AO70" i="7" s="1"/>
  <c r="L68" i="7"/>
  <c r="AJ68" i="7" s="1"/>
  <c r="AL68" i="7" s="1"/>
  <c r="AO68" i="7" s="1"/>
  <c r="L50" i="7"/>
  <c r="AJ50" i="7" s="1"/>
  <c r="AL50" i="7" s="1"/>
  <c r="AO50" i="7" s="1"/>
  <c r="L39" i="7"/>
  <c r="AJ39" i="7" s="1"/>
  <c r="AL39" i="7" s="1"/>
  <c r="AO39" i="7" s="1"/>
  <c r="L89" i="7"/>
  <c r="AJ89" i="7" s="1"/>
  <c r="AL89" i="7" s="1"/>
  <c r="AO89" i="7" s="1"/>
  <c r="L86" i="7"/>
  <c r="AJ86" i="7" s="1"/>
  <c r="AL86" i="7" s="1"/>
  <c r="AO86" i="7" s="1"/>
  <c r="L101" i="7"/>
  <c r="AJ101" i="7" s="1"/>
  <c r="AL101" i="7" s="1"/>
  <c r="AO101" i="7" s="1"/>
  <c r="L58" i="7"/>
  <c r="AJ58" i="7" s="1"/>
  <c r="AL58" i="7" s="1"/>
  <c r="AO58" i="7" s="1"/>
  <c r="L51" i="7"/>
  <c r="AJ51" i="7" s="1"/>
  <c r="AL51" i="7" s="1"/>
  <c r="AO51" i="7" s="1"/>
  <c r="L37" i="7"/>
  <c r="AJ37" i="7" s="1"/>
  <c r="AL37" i="7" s="1"/>
  <c r="AO37" i="7" s="1"/>
  <c r="L96" i="7"/>
  <c r="AJ96" i="7" s="1"/>
  <c r="AL96" i="7" s="1"/>
  <c r="AO96" i="7" s="1"/>
  <c r="L74" i="7"/>
  <c r="AJ74" i="7" s="1"/>
  <c r="AL74" i="7" s="1"/>
  <c r="AO74" i="7" s="1"/>
  <c r="L83" i="7"/>
  <c r="AJ83" i="7" s="1"/>
  <c r="AL83" i="7" s="1"/>
  <c r="AO83" i="7" s="1"/>
  <c r="L90" i="7"/>
  <c r="AJ90" i="7" s="1"/>
  <c r="AL90" i="7" s="1"/>
  <c r="AO90" i="7" s="1"/>
  <c r="L57" i="7"/>
  <c r="AJ57" i="7" s="1"/>
  <c r="AL57" i="7" s="1"/>
  <c r="AO57" i="7" s="1"/>
  <c r="L76" i="7"/>
  <c r="AJ76" i="7" s="1"/>
  <c r="AL76" i="7" s="1"/>
  <c r="AO76" i="7" s="1"/>
  <c r="L102" i="7"/>
  <c r="AJ102" i="7" s="1"/>
  <c r="AL102" i="7" s="1"/>
  <c r="AO102" i="7" s="1"/>
  <c r="L100" i="7"/>
  <c r="AJ100" i="7" s="1"/>
  <c r="AL100" i="7" s="1"/>
  <c r="AO100" i="7" s="1"/>
  <c r="L44" i="7"/>
  <c r="AJ44" i="7" s="1"/>
  <c r="AL44" i="7" s="1"/>
  <c r="AO44" i="7" s="1"/>
  <c r="S13" i="7"/>
  <c r="U13" i="7" s="1"/>
  <c r="X13" i="7" s="1"/>
  <c r="AA13" i="7"/>
  <c r="AC13" i="7" s="1"/>
  <c r="AF13" i="7" s="1"/>
  <c r="AA15" i="7"/>
  <c r="AC15" i="7" s="1"/>
  <c r="AF15" i="7" s="1"/>
  <c r="S15" i="7"/>
  <c r="U15" i="7" s="1"/>
  <c r="X15" i="7" s="1"/>
  <c r="G19" i="7"/>
  <c r="G36" i="7"/>
  <c r="G17" i="7"/>
  <c r="G28" i="7"/>
  <c r="G11" i="7"/>
  <c r="H108" i="7"/>
  <c r="H100" i="7"/>
  <c r="BB100" i="7" s="1"/>
  <c r="BC100" i="7" s="1"/>
  <c r="BD100" i="7" s="1"/>
  <c r="H92" i="7"/>
  <c r="H84" i="7"/>
  <c r="BB84" i="7" s="1"/>
  <c r="BC84" i="7" s="1"/>
  <c r="BD84" i="7" s="1"/>
  <c r="H76" i="7"/>
  <c r="H68" i="7"/>
  <c r="H52" i="7"/>
  <c r="H44" i="7"/>
  <c r="H28" i="7"/>
  <c r="H20" i="7"/>
  <c r="H107" i="7"/>
  <c r="BB107" i="7" s="1"/>
  <c r="BC107" i="7" s="1"/>
  <c r="BD107" i="7" s="1"/>
  <c r="H99" i="7"/>
  <c r="H91" i="7"/>
  <c r="BB91" i="7" s="1"/>
  <c r="BC91" i="7" s="1"/>
  <c r="BD91" i="7" s="1"/>
  <c r="H83" i="7"/>
  <c r="BB83" i="7" s="1"/>
  <c r="BC83" i="7" s="1"/>
  <c r="BD83" i="7" s="1"/>
  <c r="H75" i="7"/>
  <c r="H67" i="7"/>
  <c r="H59" i="7"/>
  <c r="H51" i="7"/>
  <c r="H43" i="7"/>
  <c r="H35" i="7"/>
  <c r="H27" i="7"/>
  <c r="H19" i="7"/>
  <c r="H11" i="7"/>
  <c r="H106" i="7"/>
  <c r="H98" i="7"/>
  <c r="BB98" i="7" s="1"/>
  <c r="BC98" i="7" s="1"/>
  <c r="BD98" i="7" s="1"/>
  <c r="H90" i="7"/>
  <c r="H82" i="7"/>
  <c r="BB82" i="7" s="1"/>
  <c r="BC82" i="7" s="1"/>
  <c r="BD82" i="7" s="1"/>
  <c r="H74" i="7"/>
  <c r="BB74" i="7" s="1"/>
  <c r="BC74" i="7" s="1"/>
  <c r="BD74" i="7" s="1"/>
  <c r="H66" i="7"/>
  <c r="H58" i="7"/>
  <c r="H50" i="7"/>
  <c r="H42" i="7"/>
  <c r="H34" i="7"/>
  <c r="H26" i="7"/>
  <c r="H18" i="7"/>
  <c r="H10" i="7"/>
  <c r="H105" i="7"/>
  <c r="BB105" i="7" s="1"/>
  <c r="BC105" i="7" s="1"/>
  <c r="BD105" i="7" s="1"/>
  <c r="H97" i="7"/>
  <c r="BB97" i="7" s="1"/>
  <c r="BC97" i="7" s="1"/>
  <c r="BD97" i="7" s="1"/>
  <c r="H89" i="7"/>
  <c r="H81" i="7"/>
  <c r="BB81" i="7" s="1"/>
  <c r="BC81" i="7" s="1"/>
  <c r="BD81" i="7" s="1"/>
  <c r="H73" i="7"/>
  <c r="H65" i="7"/>
  <c r="H57" i="7"/>
  <c r="H49" i="7"/>
  <c r="H41" i="7"/>
  <c r="H33" i="7"/>
  <c r="H25" i="7"/>
  <c r="H17" i="7"/>
  <c r="H9" i="7"/>
  <c r="H64" i="7"/>
  <c r="H40" i="7"/>
  <c r="H24" i="7"/>
  <c r="H104" i="7"/>
  <c r="H96" i="7"/>
  <c r="BB96" i="7" s="1"/>
  <c r="BC96" i="7" s="1"/>
  <c r="BD96" i="7" s="1"/>
  <c r="H88" i="7"/>
  <c r="H80" i="7"/>
  <c r="H72" i="7"/>
  <c r="H56" i="7"/>
  <c r="H48" i="7"/>
  <c r="H32" i="7"/>
  <c r="H16" i="7"/>
  <c r="H103" i="7"/>
  <c r="BB103" i="7" s="1"/>
  <c r="BC103" i="7" s="1"/>
  <c r="BD103" i="7" s="1"/>
  <c r="H95" i="7"/>
  <c r="H87" i="7"/>
  <c r="H79" i="7"/>
  <c r="BB79" i="7" s="1"/>
  <c r="BC79" i="7" s="1"/>
  <c r="BD79" i="7" s="1"/>
  <c r="H71" i="7"/>
  <c r="H63" i="7"/>
  <c r="H55" i="7"/>
  <c r="H47" i="7"/>
  <c r="H39" i="7"/>
  <c r="H31" i="7"/>
  <c r="H23" i="7"/>
  <c r="H15" i="7"/>
  <c r="H102" i="7"/>
  <c r="BB102" i="7" s="1"/>
  <c r="BC102" i="7" s="1"/>
  <c r="BD102" i="7" s="1"/>
  <c r="H94" i="7"/>
  <c r="BB94" i="7" s="1"/>
  <c r="BC94" i="7" s="1"/>
  <c r="BD94" i="7" s="1"/>
  <c r="H86" i="7"/>
  <c r="H78" i="7"/>
  <c r="BB78" i="7" s="1"/>
  <c r="BC78" i="7" s="1"/>
  <c r="BD78" i="7" s="1"/>
  <c r="H70" i="7"/>
  <c r="BB70" i="7" s="1"/>
  <c r="BC70" i="7" s="1"/>
  <c r="BD70" i="7" s="1"/>
  <c r="H62" i="7"/>
  <c r="H54" i="7"/>
  <c r="H46" i="7"/>
  <c r="H38" i="7"/>
  <c r="H30" i="7"/>
  <c r="H22" i="7"/>
  <c r="H14" i="7"/>
  <c r="H101" i="7"/>
  <c r="H93" i="7"/>
  <c r="H85" i="7"/>
  <c r="BB85" i="7" s="1"/>
  <c r="BC85" i="7" s="1"/>
  <c r="BD85" i="7" s="1"/>
  <c r="H77" i="7"/>
  <c r="BB77" i="7" s="1"/>
  <c r="BC77" i="7" s="1"/>
  <c r="BD77" i="7" s="1"/>
  <c r="H69" i="7"/>
  <c r="H61" i="7"/>
  <c r="H53" i="7"/>
  <c r="H45" i="7"/>
  <c r="H37" i="7"/>
  <c r="H29" i="7"/>
  <c r="H21" i="7"/>
  <c r="BB21" i="7" s="1"/>
  <c r="BC21" i="7" s="1"/>
  <c r="BD21" i="7" s="1"/>
  <c r="H13" i="7"/>
  <c r="H60" i="7"/>
  <c r="H36" i="7"/>
  <c r="H12" i="7"/>
  <c r="G16" i="7"/>
  <c r="K34" i="7"/>
  <c r="M34" i="7"/>
  <c r="AR34" i="7" s="1"/>
  <c r="AT34" i="7" s="1"/>
  <c r="AW34" i="7" s="1"/>
  <c r="K10" i="7"/>
  <c r="M10" i="7"/>
  <c r="AR10" i="7" s="1"/>
  <c r="K27" i="7"/>
  <c r="M27" i="7"/>
  <c r="AR27" i="7" s="1"/>
  <c r="AT27" i="7" s="1"/>
  <c r="AW27" i="7" s="1"/>
  <c r="M43" i="7"/>
  <c r="AR43" i="7" s="1"/>
  <c r="AT43" i="7" s="1"/>
  <c r="AW43" i="7" s="1"/>
  <c r="M42" i="7"/>
  <c r="AR42" i="7" s="1"/>
  <c r="AT42" i="7" s="1"/>
  <c r="AW42" i="7" s="1"/>
  <c r="K15" i="7"/>
  <c r="M15" i="7"/>
  <c r="AR15" i="7" s="1"/>
  <c r="M47" i="7"/>
  <c r="AR47" i="7" s="1"/>
  <c r="AT47" i="7" s="1"/>
  <c r="AW47" i="7" s="1"/>
  <c r="M51" i="7"/>
  <c r="AR51" i="7" s="1"/>
  <c r="AT51" i="7" s="1"/>
  <c r="AW51" i="7" s="1"/>
  <c r="M101" i="7"/>
  <c r="AR101" i="7" s="1"/>
  <c r="AT101" i="7" s="1"/>
  <c r="AW101" i="7" s="1"/>
  <c r="M103" i="7"/>
  <c r="AR103" i="7" s="1"/>
  <c r="AT103" i="7" s="1"/>
  <c r="AW103" i="7" s="1"/>
  <c r="M98" i="7"/>
  <c r="AR98" i="7" s="1"/>
  <c r="AT98" i="7" s="1"/>
  <c r="AW98" i="7" s="1"/>
  <c r="K38" i="7"/>
  <c r="M38" i="7"/>
  <c r="AR38" i="7" s="1"/>
  <c r="AT38" i="7" s="1"/>
  <c r="AW38" i="7" s="1"/>
  <c r="K36" i="7"/>
  <c r="M36" i="7"/>
  <c r="AR36" i="7" s="1"/>
  <c r="AT36" i="7" s="1"/>
  <c r="AW36" i="7" s="1"/>
  <c r="M106" i="7"/>
  <c r="AR106" i="7" s="1"/>
  <c r="AT106" i="7" s="1"/>
  <c r="AW106" i="7" s="1"/>
  <c r="M92" i="7"/>
  <c r="AR92" i="7" s="1"/>
  <c r="AT92" i="7" s="1"/>
  <c r="AW92" i="7" s="1"/>
  <c r="M100" i="7"/>
  <c r="AR100" i="7" s="1"/>
  <c r="AT100" i="7" s="1"/>
  <c r="AW100" i="7" s="1"/>
  <c r="M85" i="7"/>
  <c r="AR85" i="7" s="1"/>
  <c r="AT85" i="7" s="1"/>
  <c r="AW85" i="7" s="1"/>
  <c r="M56" i="7"/>
  <c r="AR56" i="7" s="1"/>
  <c r="AT56" i="7" s="1"/>
  <c r="AW56" i="7" s="1"/>
  <c r="K12" i="7"/>
  <c r="M12" i="7"/>
  <c r="AR12" i="7" s="1"/>
  <c r="M81" i="7"/>
  <c r="AR81" i="7" s="1"/>
  <c r="AT81" i="7" s="1"/>
  <c r="AW81" i="7" s="1"/>
  <c r="M61" i="7"/>
  <c r="AR61" i="7" s="1"/>
  <c r="AT61" i="7" s="1"/>
  <c r="AW61" i="7" s="1"/>
  <c r="M58" i="7"/>
  <c r="AR58" i="7" s="1"/>
  <c r="AT58" i="7" s="1"/>
  <c r="AW58" i="7" s="1"/>
  <c r="M65" i="7"/>
  <c r="AR65" i="7" s="1"/>
  <c r="AT65" i="7" s="1"/>
  <c r="AW65" i="7" s="1"/>
  <c r="M70" i="7"/>
  <c r="AR70" i="7" s="1"/>
  <c r="AT70" i="7" s="1"/>
  <c r="AW70" i="7" s="1"/>
  <c r="M86" i="7"/>
  <c r="AR86" i="7" s="1"/>
  <c r="AT86" i="7" s="1"/>
  <c r="AW86" i="7" s="1"/>
  <c r="M96" i="7"/>
  <c r="AR96" i="7" s="1"/>
  <c r="AT96" i="7" s="1"/>
  <c r="AW96" i="7" s="1"/>
  <c r="M74" i="7"/>
  <c r="AR74" i="7" s="1"/>
  <c r="AT74" i="7" s="1"/>
  <c r="AW74" i="7" s="1"/>
  <c r="K35" i="7"/>
  <c r="M35" i="7"/>
  <c r="AR35" i="7" s="1"/>
  <c r="AT35" i="7" s="1"/>
  <c r="AW35" i="7" s="1"/>
  <c r="M90" i="7"/>
  <c r="AR90" i="7" s="1"/>
  <c r="AT90" i="7" s="1"/>
  <c r="AW90" i="7" s="1"/>
  <c r="K32" i="7"/>
  <c r="M32" i="7"/>
  <c r="AR32" i="7" s="1"/>
  <c r="AT32" i="7" s="1"/>
  <c r="AW32" i="7" s="1"/>
  <c r="M45" i="7"/>
  <c r="AR45" i="7" s="1"/>
  <c r="AT45" i="7" s="1"/>
  <c r="AW45" i="7" s="1"/>
  <c r="M83" i="7"/>
  <c r="AR83" i="7" s="1"/>
  <c r="AT83" i="7" s="1"/>
  <c r="AW83" i="7" s="1"/>
  <c r="K37" i="7"/>
  <c r="M37" i="7"/>
  <c r="AR37" i="7" s="1"/>
  <c r="AT37" i="7" s="1"/>
  <c r="AW37" i="7" s="1"/>
  <c r="K31" i="7"/>
  <c r="M31" i="7"/>
  <c r="AR31" i="7" s="1"/>
  <c r="AT31" i="7" s="1"/>
  <c r="AW31" i="7" s="1"/>
  <c r="M73" i="7"/>
  <c r="AR73" i="7" s="1"/>
  <c r="AT73" i="7" s="1"/>
  <c r="AW73" i="7" s="1"/>
  <c r="M88" i="7"/>
  <c r="AR88" i="7" s="1"/>
  <c r="AT88" i="7" s="1"/>
  <c r="AW88" i="7" s="1"/>
  <c r="M89" i="7"/>
  <c r="AR89" i="7" s="1"/>
  <c r="AT89" i="7" s="1"/>
  <c r="AW89" i="7" s="1"/>
  <c r="K13" i="7"/>
  <c r="M13" i="7"/>
  <c r="AR13" i="7" s="1"/>
  <c r="K14" i="7"/>
  <c r="M14" i="7"/>
  <c r="AR14" i="7" s="1"/>
  <c r="K17" i="7"/>
  <c r="M17" i="7"/>
  <c r="AR17" i="7" s="1"/>
  <c r="K20" i="7"/>
  <c r="M20" i="7"/>
  <c r="AR20" i="7" s="1"/>
  <c r="AT20" i="7" s="1"/>
  <c r="AW20" i="7" s="1"/>
  <c r="M72" i="7"/>
  <c r="AR72" i="7" s="1"/>
  <c r="AT72" i="7" s="1"/>
  <c r="AW72" i="7" s="1"/>
  <c r="M62" i="7"/>
  <c r="AR62" i="7" s="1"/>
  <c r="AT62" i="7" s="1"/>
  <c r="AW62" i="7" s="1"/>
  <c r="M107" i="7"/>
  <c r="AR107" i="7" s="1"/>
  <c r="AT107" i="7" s="1"/>
  <c r="AW107" i="7" s="1"/>
  <c r="M97" i="7"/>
  <c r="AR97" i="7" s="1"/>
  <c r="AT97" i="7" s="1"/>
  <c r="AW97" i="7" s="1"/>
  <c r="K16" i="7"/>
  <c r="M16" i="7"/>
  <c r="AR16" i="7" s="1"/>
  <c r="AT16" i="7" s="1"/>
  <c r="AW16" i="7" s="1"/>
  <c r="M41" i="7"/>
  <c r="AR41" i="7" s="1"/>
  <c r="AT41" i="7" s="1"/>
  <c r="AW41" i="7" s="1"/>
  <c r="K26" i="7"/>
  <c r="M26" i="7"/>
  <c r="AR26" i="7" s="1"/>
  <c r="AT26" i="7" s="1"/>
  <c r="AW26" i="7" s="1"/>
  <c r="K22" i="7"/>
  <c r="M22" i="7"/>
  <c r="AR22" i="7" s="1"/>
  <c r="AT22" i="7" s="1"/>
  <c r="AW22" i="7" s="1"/>
  <c r="K24" i="7"/>
  <c r="M24" i="7"/>
  <c r="AR24" i="7" s="1"/>
  <c r="AT24" i="7" s="1"/>
  <c r="AW24" i="7" s="1"/>
  <c r="M49" i="7"/>
  <c r="AR49" i="7" s="1"/>
  <c r="AT49" i="7" s="1"/>
  <c r="AW49" i="7" s="1"/>
  <c r="M79" i="7"/>
  <c r="AR79" i="7" s="1"/>
  <c r="AT79" i="7" s="1"/>
  <c r="AW79" i="7" s="1"/>
  <c r="M104" i="7"/>
  <c r="AR104" i="7" s="1"/>
  <c r="AT104" i="7" s="1"/>
  <c r="AW104" i="7" s="1"/>
  <c r="M39" i="7"/>
  <c r="AR39" i="7" s="1"/>
  <c r="AT39" i="7" s="1"/>
  <c r="AW39" i="7" s="1"/>
  <c r="M71" i="7"/>
  <c r="AR71" i="7" s="1"/>
  <c r="AT71" i="7" s="1"/>
  <c r="AW71" i="7" s="1"/>
  <c r="M52" i="7"/>
  <c r="AR52" i="7" s="1"/>
  <c r="AT52" i="7" s="1"/>
  <c r="AW52" i="7" s="1"/>
  <c r="M99" i="7"/>
  <c r="AR99" i="7" s="1"/>
  <c r="AT99" i="7" s="1"/>
  <c r="AW99" i="7" s="1"/>
  <c r="K21" i="7"/>
  <c r="M21" i="7"/>
  <c r="AR21" i="7" s="1"/>
  <c r="AT21" i="7" s="1"/>
  <c r="AW21" i="7" s="1"/>
  <c r="M59" i="7"/>
  <c r="AR59" i="7" s="1"/>
  <c r="AT59" i="7" s="1"/>
  <c r="AW59" i="7" s="1"/>
  <c r="M94" i="7"/>
  <c r="AR94" i="7" s="1"/>
  <c r="AT94" i="7" s="1"/>
  <c r="AW94" i="7" s="1"/>
  <c r="M53" i="7"/>
  <c r="AR53" i="7" s="1"/>
  <c r="AT53" i="7" s="1"/>
  <c r="AW53" i="7" s="1"/>
  <c r="M80" i="7"/>
  <c r="AR80" i="7" s="1"/>
  <c r="AT80" i="7" s="1"/>
  <c r="AW80" i="7" s="1"/>
  <c r="M57" i="7"/>
  <c r="AR57" i="7" s="1"/>
  <c r="AT57" i="7" s="1"/>
  <c r="AW57" i="7" s="1"/>
  <c r="M67" i="7"/>
  <c r="AR67" i="7" s="1"/>
  <c r="AT67" i="7" s="1"/>
  <c r="AW67" i="7" s="1"/>
  <c r="M82" i="7"/>
  <c r="AR82" i="7" s="1"/>
  <c r="AT82" i="7" s="1"/>
  <c r="AW82" i="7" s="1"/>
  <c r="M76" i="7"/>
  <c r="AR76" i="7" s="1"/>
  <c r="AT76" i="7" s="1"/>
  <c r="AW76" i="7" s="1"/>
  <c r="M102" i="7"/>
  <c r="AR102" i="7" s="1"/>
  <c r="AT102" i="7" s="1"/>
  <c r="AW102" i="7" s="1"/>
  <c r="M46" i="7"/>
  <c r="AR46" i="7" s="1"/>
  <c r="AT46" i="7" s="1"/>
  <c r="AW46" i="7" s="1"/>
  <c r="K33" i="7"/>
  <c r="M33" i="7"/>
  <c r="AR33" i="7" s="1"/>
  <c r="AT33" i="7" s="1"/>
  <c r="AW33" i="7" s="1"/>
  <c r="K19" i="7"/>
  <c r="M19" i="7"/>
  <c r="AR19" i="7" s="1"/>
  <c r="M77" i="7"/>
  <c r="AR77" i="7" s="1"/>
  <c r="AT77" i="7" s="1"/>
  <c r="AW77" i="7" s="1"/>
  <c r="K11" i="7"/>
  <c r="M11" i="7"/>
  <c r="AR11" i="7" s="1"/>
  <c r="K28" i="7"/>
  <c r="M28" i="7"/>
  <c r="AR28" i="7" s="1"/>
  <c r="AT28" i="7" s="1"/>
  <c r="AW28" i="7" s="1"/>
  <c r="K18" i="7"/>
  <c r="M18" i="7"/>
  <c r="AR18" i="7" s="1"/>
  <c r="K9" i="7"/>
  <c r="M9" i="7"/>
  <c r="AR9" i="7" s="1"/>
  <c r="K30" i="7"/>
  <c r="M30" i="7"/>
  <c r="AR30" i="7" s="1"/>
  <c r="AT30" i="7" s="1"/>
  <c r="AW30" i="7" s="1"/>
  <c r="M69" i="7"/>
  <c r="AR69" i="7" s="1"/>
  <c r="AT69" i="7" s="1"/>
  <c r="AW69" i="7" s="1"/>
  <c r="K23" i="7"/>
  <c r="M23" i="7"/>
  <c r="AR23" i="7" s="1"/>
  <c r="AT23" i="7" s="1"/>
  <c r="AW23" i="7" s="1"/>
  <c r="M78" i="7"/>
  <c r="AR78" i="7" s="1"/>
  <c r="AT78" i="7" s="1"/>
  <c r="AW78" i="7" s="1"/>
  <c r="K25" i="7"/>
  <c r="M25" i="7"/>
  <c r="AR25" i="7" s="1"/>
  <c r="AT25" i="7" s="1"/>
  <c r="AW25" i="7" s="1"/>
  <c r="K29" i="7"/>
  <c r="M29" i="7"/>
  <c r="AR29" i="7" s="1"/>
  <c r="AT29" i="7" s="1"/>
  <c r="AW29" i="7" s="1"/>
  <c r="G56" i="7"/>
  <c r="G46" i="7"/>
  <c r="G103" i="7"/>
  <c r="G102" i="7"/>
  <c r="G88" i="7"/>
  <c r="G54" i="7"/>
  <c r="G63" i="7"/>
  <c r="G53" i="7"/>
  <c r="G93" i="7"/>
  <c r="G67" i="7"/>
  <c r="G73" i="7"/>
  <c r="G51" i="7"/>
  <c r="G75" i="7"/>
  <c r="G90" i="7"/>
  <c r="G60" i="7"/>
  <c r="G65" i="7"/>
  <c r="G42" i="7"/>
  <c r="G98" i="7"/>
  <c r="G45" i="7"/>
  <c r="G89" i="7"/>
  <c r="G78" i="7"/>
  <c r="G55" i="7"/>
  <c r="G80" i="7"/>
  <c r="G86" i="7"/>
  <c r="G76" i="7"/>
  <c r="G105" i="7"/>
  <c r="G77" i="7"/>
  <c r="G48" i="7"/>
  <c r="G91" i="7"/>
  <c r="G72" i="7"/>
  <c r="G57" i="7"/>
  <c r="G82" i="7"/>
  <c r="G59" i="7"/>
  <c r="G81" i="7"/>
  <c r="G107" i="7"/>
  <c r="G100" i="7"/>
  <c r="G79" i="7"/>
  <c r="G74" i="7"/>
  <c r="G101" i="7"/>
  <c r="G97" i="7"/>
  <c r="G70" i="7"/>
  <c r="G83" i="7"/>
  <c r="G95" i="7"/>
  <c r="G50" i="7"/>
  <c r="G61" i="7"/>
  <c r="G104" i="7"/>
  <c r="G99" i="7"/>
  <c r="G40" i="7"/>
  <c r="G69" i="7"/>
  <c r="G41" i="7"/>
  <c r="G68" i="7"/>
  <c r="G62" i="7"/>
  <c r="G47" i="7"/>
  <c r="G106" i="7"/>
  <c r="G87" i="7"/>
  <c r="G43" i="7"/>
  <c r="G64" i="7"/>
  <c r="G44" i="7"/>
  <c r="G39" i="7"/>
  <c r="G92" i="7"/>
  <c r="G58" i="7"/>
  <c r="G49" i="7"/>
  <c r="G85" i="7"/>
  <c r="G108" i="7"/>
  <c r="G84" i="7"/>
  <c r="G66" i="7"/>
  <c r="G52" i="7"/>
  <c r="G94" i="7"/>
  <c r="G71" i="7"/>
  <c r="BJ9" i="7" l="1"/>
  <c r="BS9" i="7" s="1"/>
  <c r="BG94" i="7"/>
  <c r="BE94" i="7"/>
  <c r="BG107" i="7"/>
  <c r="BE107" i="7"/>
  <c r="BG96" i="7"/>
  <c r="BE96" i="7"/>
  <c r="BG102" i="7"/>
  <c r="BE102" i="7"/>
  <c r="BG100" i="7"/>
  <c r="BE100" i="7"/>
  <c r="BG98" i="7"/>
  <c r="BE98" i="7"/>
  <c r="BG97" i="7"/>
  <c r="BE97" i="7"/>
  <c r="BG103" i="7"/>
  <c r="BE103" i="7"/>
  <c r="BG105" i="7"/>
  <c r="BE105" i="7"/>
  <c r="BG91" i="7"/>
  <c r="BE91" i="7"/>
  <c r="S92" i="7"/>
  <c r="U92" i="7" s="1"/>
  <c r="AA92" i="7"/>
  <c r="AC92" i="7" s="1"/>
  <c r="AA89" i="7"/>
  <c r="AC89" i="7" s="1"/>
  <c r="S89" i="7"/>
  <c r="U89" i="7" s="1"/>
  <c r="AA102" i="7"/>
  <c r="AC102" i="7" s="1"/>
  <c r="S102" i="7"/>
  <c r="U102" i="7" s="1"/>
  <c r="T106" i="7"/>
  <c r="V106" i="7" s="1"/>
  <c r="Y106" i="7" s="1"/>
  <c r="AB106" i="7"/>
  <c r="AD106" i="7" s="1"/>
  <c r="AG106" i="7" s="1"/>
  <c r="AN101" i="7"/>
  <c r="AM101" i="7"/>
  <c r="AU92" i="7"/>
  <c r="AV92" i="7"/>
  <c r="AM97" i="7"/>
  <c r="AN97" i="7"/>
  <c r="AV100" i="7"/>
  <c r="AU100" i="7"/>
  <c r="AM96" i="7"/>
  <c r="AN96" i="7"/>
  <c r="AM90" i="7"/>
  <c r="AN90" i="7"/>
  <c r="S91" i="7"/>
  <c r="U91" i="7" s="1"/>
  <c r="AA91" i="7"/>
  <c r="AC91" i="7" s="1"/>
  <c r="S94" i="7"/>
  <c r="U94" i="7" s="1"/>
  <c r="AA94" i="7"/>
  <c r="AC94" i="7" s="1"/>
  <c r="AA100" i="7"/>
  <c r="AC100" i="7" s="1"/>
  <c r="S100" i="7"/>
  <c r="U100" i="7" s="1"/>
  <c r="AA95" i="7"/>
  <c r="AC95" i="7" s="1"/>
  <c r="S95" i="7"/>
  <c r="U95" i="7" s="1"/>
  <c r="S107" i="7"/>
  <c r="U107" i="7" s="1"/>
  <c r="AA107" i="7"/>
  <c r="AC107" i="7" s="1"/>
  <c r="S103" i="7"/>
  <c r="U103" i="7" s="1"/>
  <c r="AA103" i="7"/>
  <c r="AC103" i="7" s="1"/>
  <c r="T93" i="7"/>
  <c r="V93" i="7" s="1"/>
  <c r="Y93" i="7" s="1"/>
  <c r="AB93" i="7"/>
  <c r="AD93" i="7" s="1"/>
  <c r="AG93" i="7" s="1"/>
  <c r="BJ95" i="7"/>
  <c r="BS95" i="7" s="1"/>
  <c r="T95" i="7"/>
  <c r="V95" i="7" s="1"/>
  <c r="Y95" i="7" s="1"/>
  <c r="AB95" i="7"/>
  <c r="AD95" i="7" s="1"/>
  <c r="AG95" i="7" s="1"/>
  <c r="BJ89" i="7"/>
  <c r="BS89" i="7" s="1"/>
  <c r="T89" i="7"/>
  <c r="V89" i="7" s="1"/>
  <c r="Y89" i="7" s="1"/>
  <c r="AB89" i="7"/>
  <c r="AD89" i="7" s="1"/>
  <c r="AG89" i="7" s="1"/>
  <c r="AA34" i="7"/>
  <c r="AC34" i="7" s="1"/>
  <c r="AU102" i="7"/>
  <c r="AV102" i="7"/>
  <c r="BB93" i="7"/>
  <c r="BC93" i="7" s="1"/>
  <c r="BD93" i="7" s="1"/>
  <c r="AM91" i="7"/>
  <c r="AN91" i="7"/>
  <c r="AN100" i="7"/>
  <c r="AM100" i="7"/>
  <c r="AV90" i="7"/>
  <c r="AU90" i="7"/>
  <c r="S98" i="7"/>
  <c r="U98" i="7" s="1"/>
  <c r="AA98" i="7"/>
  <c r="AC98" i="7" s="1"/>
  <c r="AB101" i="7"/>
  <c r="AD101" i="7" s="1"/>
  <c r="AG101" i="7" s="1"/>
  <c r="T101" i="7"/>
  <c r="V101" i="7" s="1"/>
  <c r="Y101" i="7" s="1"/>
  <c r="BJ103" i="7"/>
  <c r="BS103" i="7" s="1"/>
  <c r="AB103" i="7"/>
  <c r="AD103" i="7" s="1"/>
  <c r="AG103" i="7" s="1"/>
  <c r="T103" i="7"/>
  <c r="V103" i="7" s="1"/>
  <c r="Y103" i="7" s="1"/>
  <c r="BJ96" i="7"/>
  <c r="BS96" i="7" s="1"/>
  <c r="T96" i="7"/>
  <c r="V96" i="7" s="1"/>
  <c r="Y96" i="7" s="1"/>
  <c r="AB96" i="7"/>
  <c r="AD96" i="7" s="1"/>
  <c r="AG96" i="7" s="1"/>
  <c r="T97" i="7"/>
  <c r="V97" i="7" s="1"/>
  <c r="Y97" i="7" s="1"/>
  <c r="AB97" i="7"/>
  <c r="AD97" i="7" s="1"/>
  <c r="AG97" i="7" s="1"/>
  <c r="AM102" i="7"/>
  <c r="AN102" i="7"/>
  <c r="AN104" i="7"/>
  <c r="AM104" i="7"/>
  <c r="AM107" i="7"/>
  <c r="AN107" i="7"/>
  <c r="AU91" i="7"/>
  <c r="AV91" i="7"/>
  <c r="AN103" i="7"/>
  <c r="AM103" i="7"/>
  <c r="AU101" i="7"/>
  <c r="AV101" i="7"/>
  <c r="AN108" i="7"/>
  <c r="AM108" i="7"/>
  <c r="AU96" i="7"/>
  <c r="AV96" i="7"/>
  <c r="S105" i="7"/>
  <c r="U105" i="7" s="1"/>
  <c r="AA105" i="7"/>
  <c r="AC105" i="7" s="1"/>
  <c r="AA93" i="7"/>
  <c r="AC93" i="7" s="1"/>
  <c r="S93" i="7"/>
  <c r="U93" i="7" s="1"/>
  <c r="BJ104" i="7"/>
  <c r="BS104" i="7" s="1"/>
  <c r="BT104" i="7" s="1"/>
  <c r="BU104" i="7" s="1"/>
  <c r="BX104" i="7" s="1"/>
  <c r="AB104" i="7"/>
  <c r="AD104" i="7" s="1"/>
  <c r="AG104" i="7" s="1"/>
  <c r="T104" i="7"/>
  <c r="V104" i="7" s="1"/>
  <c r="Y104" i="7" s="1"/>
  <c r="BJ105" i="7"/>
  <c r="BS105" i="7" s="1"/>
  <c r="T105" i="7"/>
  <c r="V105" i="7" s="1"/>
  <c r="Y105" i="7" s="1"/>
  <c r="AB105" i="7"/>
  <c r="AD105" i="7" s="1"/>
  <c r="AG105" i="7" s="1"/>
  <c r="BJ91" i="7"/>
  <c r="BS91" i="7" s="1"/>
  <c r="T91" i="7"/>
  <c r="V91" i="7" s="1"/>
  <c r="Y91" i="7" s="1"/>
  <c r="AB91" i="7"/>
  <c r="AD91" i="7" s="1"/>
  <c r="AG91" i="7" s="1"/>
  <c r="S96" i="7"/>
  <c r="U96" i="7" s="1"/>
  <c r="AA96" i="7"/>
  <c r="AC96" i="7" s="1"/>
  <c r="AN106" i="7"/>
  <c r="AM106" i="7"/>
  <c r="AU104" i="7"/>
  <c r="AV104" i="7"/>
  <c r="AV107" i="7"/>
  <c r="AU107" i="7"/>
  <c r="BB95" i="7"/>
  <c r="BC95" i="7" s="1"/>
  <c r="BD95" i="7" s="1"/>
  <c r="BB101" i="7"/>
  <c r="BC101" i="7" s="1"/>
  <c r="BD101" i="7" s="1"/>
  <c r="AN99" i="7"/>
  <c r="AM99" i="7"/>
  <c r="AV103" i="7"/>
  <c r="AU103" i="7"/>
  <c r="T98" i="7"/>
  <c r="V98" i="7" s="1"/>
  <c r="Y98" i="7" s="1"/>
  <c r="AB98" i="7"/>
  <c r="AD98" i="7" s="1"/>
  <c r="AG98" i="7" s="1"/>
  <c r="BJ108" i="7"/>
  <c r="BS108" i="7" s="1"/>
  <c r="BT108" i="7" s="1"/>
  <c r="BU108" i="7" s="1"/>
  <c r="BX108" i="7" s="1"/>
  <c r="T108" i="7"/>
  <c r="V108" i="7" s="1"/>
  <c r="Y108" i="7" s="1"/>
  <c r="AB108" i="7"/>
  <c r="AD108" i="7" s="1"/>
  <c r="AG108" i="7" s="1"/>
  <c r="AM92" i="7"/>
  <c r="AN92" i="7"/>
  <c r="AA97" i="7"/>
  <c r="AC97" i="7" s="1"/>
  <c r="S97" i="7"/>
  <c r="U97" i="7" s="1"/>
  <c r="AB99" i="7"/>
  <c r="AD99" i="7" s="1"/>
  <c r="AG99" i="7" s="1"/>
  <c r="T99" i="7"/>
  <c r="V99" i="7" s="1"/>
  <c r="Y99" i="7" s="1"/>
  <c r="AU106" i="7"/>
  <c r="AV106" i="7"/>
  <c r="BW9" i="7"/>
  <c r="BT9" i="7"/>
  <c r="BU9" i="7" s="1"/>
  <c r="BX9" i="7" s="1"/>
  <c r="AV93" i="7"/>
  <c r="AU93" i="7"/>
  <c r="BB89" i="7"/>
  <c r="BC89" i="7" s="1"/>
  <c r="BD89" i="7" s="1"/>
  <c r="AU94" i="7"/>
  <c r="AV94" i="7"/>
  <c r="AU99" i="7"/>
  <c r="AV99" i="7"/>
  <c r="AV105" i="7"/>
  <c r="AU105" i="7"/>
  <c r="S108" i="7"/>
  <c r="U108" i="7" s="1"/>
  <c r="AA108" i="7"/>
  <c r="AC108" i="7" s="1"/>
  <c r="AA99" i="7"/>
  <c r="AC99" i="7" s="1"/>
  <c r="S99" i="7"/>
  <c r="U99" i="7" s="1"/>
  <c r="AA101" i="7"/>
  <c r="AC101" i="7" s="1"/>
  <c r="S101" i="7"/>
  <c r="U101" i="7" s="1"/>
  <c r="AB94" i="7"/>
  <c r="AD94" i="7" s="1"/>
  <c r="AG94" i="7" s="1"/>
  <c r="T94" i="7"/>
  <c r="V94" i="7" s="1"/>
  <c r="Y94" i="7" s="1"/>
  <c r="T107" i="7"/>
  <c r="V107" i="7" s="1"/>
  <c r="Y107" i="7" s="1"/>
  <c r="AB107" i="7"/>
  <c r="AD107" i="7" s="1"/>
  <c r="AG107" i="7" s="1"/>
  <c r="AB92" i="7"/>
  <c r="AD92" i="7" s="1"/>
  <c r="AG92" i="7" s="1"/>
  <c r="T92" i="7"/>
  <c r="V92" i="7" s="1"/>
  <c r="Y92" i="7" s="1"/>
  <c r="AU89" i="7"/>
  <c r="AV89" i="7"/>
  <c r="BB108" i="7"/>
  <c r="BC108" i="7" s="1"/>
  <c r="BD108" i="7" s="1"/>
  <c r="AU98" i="7"/>
  <c r="AV98" i="7"/>
  <c r="BB99" i="7"/>
  <c r="BC99" i="7" s="1"/>
  <c r="BD99" i="7" s="1"/>
  <c r="AM93" i="7"/>
  <c r="AN93" i="7"/>
  <c r="AN94" i="7"/>
  <c r="AM94" i="7"/>
  <c r="BB92" i="7"/>
  <c r="BC92" i="7" s="1"/>
  <c r="BD92" i="7" s="1"/>
  <c r="AU97" i="7"/>
  <c r="AV97" i="7"/>
  <c r="AV95" i="7"/>
  <c r="AU95" i="7"/>
  <c r="S106" i="7"/>
  <c r="U106" i="7" s="1"/>
  <c r="AA106" i="7"/>
  <c r="AC106" i="7" s="1"/>
  <c r="S104" i="7"/>
  <c r="U104" i="7" s="1"/>
  <c r="AA104" i="7"/>
  <c r="AC104" i="7" s="1"/>
  <c r="S90" i="7"/>
  <c r="U90" i="7" s="1"/>
  <c r="AA90" i="7"/>
  <c r="AC90" i="7" s="1"/>
  <c r="BJ102" i="7"/>
  <c r="BS102" i="7" s="1"/>
  <c r="BT102" i="7" s="1"/>
  <c r="BU102" i="7" s="1"/>
  <c r="BX102" i="7" s="1"/>
  <c r="AB102" i="7"/>
  <c r="AD102" i="7" s="1"/>
  <c r="AG102" i="7" s="1"/>
  <c r="T102" i="7"/>
  <c r="V102" i="7" s="1"/>
  <c r="Y102" i="7" s="1"/>
  <c r="BJ90" i="7"/>
  <c r="BS90" i="7" s="1"/>
  <c r="T90" i="7"/>
  <c r="V90" i="7" s="1"/>
  <c r="Y90" i="7" s="1"/>
  <c r="AB90" i="7"/>
  <c r="AD90" i="7" s="1"/>
  <c r="AG90" i="7" s="1"/>
  <c r="BJ100" i="7"/>
  <c r="BS100" i="7" s="1"/>
  <c r="T100" i="7"/>
  <c r="V100" i="7" s="1"/>
  <c r="Y100" i="7" s="1"/>
  <c r="AB100" i="7"/>
  <c r="AD100" i="7" s="1"/>
  <c r="AG100" i="7" s="1"/>
  <c r="AN89" i="7"/>
  <c r="AM89" i="7"/>
  <c r="AM98" i="7"/>
  <c r="AN98" i="7"/>
  <c r="BB106" i="7"/>
  <c r="BC106" i="7" s="1"/>
  <c r="BD106" i="7" s="1"/>
  <c r="AV108" i="7"/>
  <c r="AU108" i="7"/>
  <c r="BB104" i="7"/>
  <c r="BC104" i="7" s="1"/>
  <c r="BD104" i="7" s="1"/>
  <c r="AM105" i="7"/>
  <c r="AN105" i="7"/>
  <c r="AM95" i="7"/>
  <c r="AN95" i="7"/>
  <c r="BB90" i="7"/>
  <c r="BC90" i="7" s="1"/>
  <c r="BD90" i="7" s="1"/>
  <c r="BG79" i="7"/>
  <c r="BE79" i="7"/>
  <c r="BG78" i="7"/>
  <c r="BE78" i="7"/>
  <c r="BG77" i="7"/>
  <c r="BE77" i="7"/>
  <c r="BG85" i="7"/>
  <c r="BE85" i="7"/>
  <c r="BG70" i="7"/>
  <c r="BE70" i="7"/>
  <c r="BG83" i="7"/>
  <c r="BE83" i="7"/>
  <c r="BG84" i="7"/>
  <c r="BE84" i="7"/>
  <c r="BG81" i="7"/>
  <c r="BE81" i="7"/>
  <c r="BG74" i="7"/>
  <c r="BE74" i="7"/>
  <c r="BG82" i="7"/>
  <c r="BE82" i="7"/>
  <c r="BJ80" i="7"/>
  <c r="BS80" i="7" s="1"/>
  <c r="AB80" i="7"/>
  <c r="AD80" i="7" s="1"/>
  <c r="AG80" i="7" s="1"/>
  <c r="T80" i="7"/>
  <c r="V80" i="7" s="1"/>
  <c r="Y80" i="7" s="1"/>
  <c r="AM83" i="7"/>
  <c r="AN83" i="7"/>
  <c r="AA72" i="7"/>
  <c r="AC72" i="7" s="1"/>
  <c r="S72" i="7"/>
  <c r="U72" i="7" s="1"/>
  <c r="BJ69" i="7"/>
  <c r="BS69" i="7" s="1"/>
  <c r="AB69" i="7"/>
  <c r="AD69" i="7" s="1"/>
  <c r="AG69" i="7" s="1"/>
  <c r="T69" i="7"/>
  <c r="V69" i="7" s="1"/>
  <c r="Y69" i="7" s="1"/>
  <c r="BJ71" i="7"/>
  <c r="BS71" i="7" s="1"/>
  <c r="T71" i="7"/>
  <c r="V71" i="7" s="1"/>
  <c r="Y71" i="7" s="1"/>
  <c r="AB71" i="7"/>
  <c r="AD71" i="7" s="1"/>
  <c r="AG71" i="7" s="1"/>
  <c r="BB20" i="7"/>
  <c r="BC20" i="7" s="1"/>
  <c r="BD20" i="7" s="1"/>
  <c r="AA18" i="7"/>
  <c r="AC18" i="7" s="1"/>
  <c r="AF18" i="7" s="1"/>
  <c r="AV73" i="7"/>
  <c r="AU73" i="7"/>
  <c r="AU74" i="7"/>
  <c r="AV74" i="7"/>
  <c r="AU75" i="7"/>
  <c r="AV75" i="7"/>
  <c r="AN86" i="7"/>
  <c r="AM86" i="7"/>
  <c r="BB80" i="7"/>
  <c r="BC80" i="7" s="1"/>
  <c r="BD80" i="7" s="1"/>
  <c r="BJ81" i="7"/>
  <c r="BS81" i="7" s="1"/>
  <c r="AB81" i="7"/>
  <c r="AD81" i="7" s="1"/>
  <c r="AG81" i="7" s="1"/>
  <c r="T81" i="7"/>
  <c r="V81" i="7" s="1"/>
  <c r="Y81" i="7" s="1"/>
  <c r="AA82" i="7"/>
  <c r="AC82" i="7" s="1"/>
  <c r="S82" i="7"/>
  <c r="U82" i="7" s="1"/>
  <c r="AA74" i="7"/>
  <c r="AC74" i="7" s="1"/>
  <c r="S74" i="7"/>
  <c r="U74" i="7" s="1"/>
  <c r="S71" i="7"/>
  <c r="U71" i="7" s="1"/>
  <c r="AA71" i="7"/>
  <c r="AC71" i="7" s="1"/>
  <c r="S79" i="7"/>
  <c r="U79" i="7" s="1"/>
  <c r="AA79" i="7"/>
  <c r="AC79" i="7" s="1"/>
  <c r="AA78" i="7"/>
  <c r="AC78" i="7" s="1"/>
  <c r="S78" i="7"/>
  <c r="U78" i="7" s="1"/>
  <c r="AA75" i="7"/>
  <c r="AC75" i="7" s="1"/>
  <c r="S75" i="7"/>
  <c r="U75" i="7" s="1"/>
  <c r="AA88" i="7"/>
  <c r="AC88" i="7" s="1"/>
  <c r="S88" i="7"/>
  <c r="U88" i="7" s="1"/>
  <c r="BJ77" i="7"/>
  <c r="BS77" i="7" s="1"/>
  <c r="BT77" i="7" s="1"/>
  <c r="BU77" i="7" s="1"/>
  <c r="BX77" i="7" s="1"/>
  <c r="AB77" i="7"/>
  <c r="AD77" i="7" s="1"/>
  <c r="AG77" i="7" s="1"/>
  <c r="T77" i="7"/>
  <c r="V77" i="7" s="1"/>
  <c r="Y77" i="7" s="1"/>
  <c r="BB15" i="7"/>
  <c r="BC15" i="7" s="1"/>
  <c r="BD15" i="7" s="1"/>
  <c r="BJ79" i="7"/>
  <c r="BS79" i="7" s="1"/>
  <c r="T79" i="7"/>
  <c r="V79" i="7" s="1"/>
  <c r="Y79" i="7" s="1"/>
  <c r="AB79" i="7"/>
  <c r="AD79" i="7" s="1"/>
  <c r="AG79" i="7" s="1"/>
  <c r="BJ72" i="7"/>
  <c r="BS72" i="7" s="1"/>
  <c r="AB72" i="7"/>
  <c r="AD72" i="7" s="1"/>
  <c r="AG72" i="7" s="1"/>
  <c r="T72" i="7"/>
  <c r="V72" i="7" s="1"/>
  <c r="Y72" i="7" s="1"/>
  <c r="BJ73" i="7"/>
  <c r="BS73" i="7" s="1"/>
  <c r="AB73" i="7"/>
  <c r="AD73" i="7" s="1"/>
  <c r="AG73" i="7" s="1"/>
  <c r="T73" i="7"/>
  <c r="V73" i="7" s="1"/>
  <c r="Y73" i="7" s="1"/>
  <c r="BJ98" i="7"/>
  <c r="BS98" i="7" s="1"/>
  <c r="BT98" i="7" s="1"/>
  <c r="BU98" i="7" s="1"/>
  <c r="BX98" i="7" s="1"/>
  <c r="AV77" i="7"/>
  <c r="AU77" i="7"/>
  <c r="AM87" i="7"/>
  <c r="AN87" i="7"/>
  <c r="AV69" i="7"/>
  <c r="AU69" i="7"/>
  <c r="AV76" i="7"/>
  <c r="AU76" i="7"/>
  <c r="AM77" i="7"/>
  <c r="AN77" i="7"/>
  <c r="AM76" i="7"/>
  <c r="AN76" i="7"/>
  <c r="AA77" i="7"/>
  <c r="AC77" i="7" s="1"/>
  <c r="S77" i="7"/>
  <c r="U77" i="7" s="1"/>
  <c r="S73" i="7"/>
  <c r="U73" i="7" s="1"/>
  <c r="AA73" i="7"/>
  <c r="AC73" i="7" s="1"/>
  <c r="BJ93" i="7"/>
  <c r="T88" i="7"/>
  <c r="V88" i="7" s="1"/>
  <c r="Y88" i="7" s="1"/>
  <c r="AB88" i="7"/>
  <c r="AD88" i="7" s="1"/>
  <c r="AG88" i="7" s="1"/>
  <c r="BJ75" i="7"/>
  <c r="BS75" i="7" s="1"/>
  <c r="AB75" i="7"/>
  <c r="AD75" i="7" s="1"/>
  <c r="AG75" i="7" s="1"/>
  <c r="T75" i="7"/>
  <c r="V75" i="7" s="1"/>
  <c r="Y75" i="7" s="1"/>
  <c r="AM82" i="7"/>
  <c r="AN82" i="7"/>
  <c r="AN81" i="7"/>
  <c r="AM81" i="7"/>
  <c r="AV78" i="7"/>
  <c r="AU78" i="7"/>
  <c r="BB69" i="7"/>
  <c r="BC69" i="7" s="1"/>
  <c r="BD69" i="7" s="1"/>
  <c r="AM72" i="7"/>
  <c r="AN72" i="7"/>
  <c r="AV83" i="7"/>
  <c r="AU83" i="7"/>
  <c r="AB87" i="7"/>
  <c r="AD87" i="7" s="1"/>
  <c r="AG87" i="7" s="1"/>
  <c r="T87" i="7"/>
  <c r="V87" i="7" s="1"/>
  <c r="Y87" i="7" s="1"/>
  <c r="AV81" i="7"/>
  <c r="AU81" i="7"/>
  <c r="S83" i="7"/>
  <c r="U83" i="7" s="1"/>
  <c r="AA83" i="7"/>
  <c r="AC83" i="7" s="1"/>
  <c r="S81" i="7"/>
  <c r="U81" i="7" s="1"/>
  <c r="AA81" i="7"/>
  <c r="AC81" i="7" s="1"/>
  <c r="T70" i="7"/>
  <c r="V70" i="7" s="1"/>
  <c r="Y70" i="7" s="1"/>
  <c r="AB70" i="7"/>
  <c r="AD70" i="7" s="1"/>
  <c r="AG70" i="7" s="1"/>
  <c r="BJ83" i="7"/>
  <c r="BS83" i="7" s="1"/>
  <c r="AB83" i="7"/>
  <c r="AD83" i="7" s="1"/>
  <c r="AG83" i="7" s="1"/>
  <c r="T83" i="7"/>
  <c r="V83" i="7" s="1"/>
  <c r="Y83" i="7" s="1"/>
  <c r="AV82" i="7"/>
  <c r="AU82" i="7"/>
  <c r="AN78" i="7"/>
  <c r="AM78" i="7"/>
  <c r="AV72" i="7"/>
  <c r="AU72" i="7"/>
  <c r="AA84" i="7"/>
  <c r="AC84" i="7" s="1"/>
  <c r="S84" i="7"/>
  <c r="U84" i="7" s="1"/>
  <c r="AA69" i="7"/>
  <c r="AC69" i="7" s="1"/>
  <c r="S69" i="7"/>
  <c r="U69" i="7" s="1"/>
  <c r="S70" i="7"/>
  <c r="U70" i="7" s="1"/>
  <c r="AA70" i="7"/>
  <c r="AC70" i="7" s="1"/>
  <c r="AA76" i="7"/>
  <c r="AC76" i="7" s="1"/>
  <c r="S76" i="7"/>
  <c r="U76" i="7" s="1"/>
  <c r="BJ78" i="7"/>
  <c r="BS78" i="7" s="1"/>
  <c r="AB78" i="7"/>
  <c r="AD78" i="7" s="1"/>
  <c r="AG78" i="7" s="1"/>
  <c r="T78" i="7"/>
  <c r="V78" i="7" s="1"/>
  <c r="Y78" i="7" s="1"/>
  <c r="BJ76" i="7"/>
  <c r="BS76" i="7" s="1"/>
  <c r="BT76" i="7" s="1"/>
  <c r="BU76" i="7" s="1"/>
  <c r="AB76" i="7"/>
  <c r="AD76" i="7" s="1"/>
  <c r="AG76" i="7" s="1"/>
  <c r="T76" i="7"/>
  <c r="V76" i="7" s="1"/>
  <c r="Y76" i="7" s="1"/>
  <c r="AU85" i="7"/>
  <c r="AV85" i="7"/>
  <c r="AM70" i="7"/>
  <c r="AN70" i="7"/>
  <c r="AN84" i="7"/>
  <c r="AM84" i="7"/>
  <c r="AN71" i="7"/>
  <c r="AM71" i="7"/>
  <c r="AM88" i="7"/>
  <c r="AN88" i="7"/>
  <c r="AV79" i="7"/>
  <c r="AU79" i="7"/>
  <c r="BJ85" i="7"/>
  <c r="BS85" i="7" s="1"/>
  <c r="AB85" i="7"/>
  <c r="AD85" i="7" s="1"/>
  <c r="AG85" i="7" s="1"/>
  <c r="T85" i="7"/>
  <c r="V85" i="7" s="1"/>
  <c r="Y85" i="7" s="1"/>
  <c r="AV87" i="7"/>
  <c r="AU87" i="7"/>
  <c r="S86" i="7"/>
  <c r="U86" i="7" s="1"/>
  <c r="AA86" i="7"/>
  <c r="AC86" i="7" s="1"/>
  <c r="BJ86" i="7"/>
  <c r="BS86" i="7" s="1"/>
  <c r="T86" i="7"/>
  <c r="V86" i="7" s="1"/>
  <c r="Y86" i="7" s="1"/>
  <c r="AB86" i="7"/>
  <c r="AD86" i="7" s="1"/>
  <c r="AG86" i="7" s="1"/>
  <c r="BJ74" i="7"/>
  <c r="BS74" i="7" s="1"/>
  <c r="T74" i="7"/>
  <c r="V74" i="7" s="1"/>
  <c r="Y74" i="7" s="1"/>
  <c r="AB74" i="7"/>
  <c r="AD74" i="7" s="1"/>
  <c r="AG74" i="7" s="1"/>
  <c r="BJ99" i="7"/>
  <c r="BS99" i="7" s="1"/>
  <c r="BJ84" i="7"/>
  <c r="BS84" i="7" s="1"/>
  <c r="T84" i="7"/>
  <c r="V84" i="7" s="1"/>
  <c r="Y84" i="7" s="1"/>
  <c r="AB84" i="7"/>
  <c r="AD84" i="7" s="1"/>
  <c r="AG84" i="7" s="1"/>
  <c r="AN85" i="7"/>
  <c r="AM85" i="7"/>
  <c r="BB88" i="7"/>
  <c r="BC88" i="7" s="1"/>
  <c r="BD88" i="7" s="1"/>
  <c r="BB71" i="7"/>
  <c r="BC71" i="7" s="1"/>
  <c r="BD71" i="7" s="1"/>
  <c r="AV70" i="7"/>
  <c r="AU70" i="7"/>
  <c r="AM80" i="7"/>
  <c r="AN80" i="7"/>
  <c r="AV84" i="7"/>
  <c r="AU84" i="7"/>
  <c r="AV71" i="7"/>
  <c r="AU71" i="7"/>
  <c r="AV88" i="7"/>
  <c r="AU88" i="7"/>
  <c r="AM79" i="7"/>
  <c r="AN79" i="7"/>
  <c r="BB76" i="7"/>
  <c r="BC76" i="7" s="1"/>
  <c r="BD76" i="7" s="1"/>
  <c r="BB72" i="7"/>
  <c r="BC72" i="7" s="1"/>
  <c r="BD72" i="7" s="1"/>
  <c r="AN69" i="7"/>
  <c r="AM69" i="7"/>
  <c r="AA85" i="7"/>
  <c r="AC85" i="7" s="1"/>
  <c r="S85" i="7"/>
  <c r="U85" i="7" s="1"/>
  <c r="AA87" i="7"/>
  <c r="AC87" i="7" s="1"/>
  <c r="S87" i="7"/>
  <c r="U87" i="7" s="1"/>
  <c r="AA80" i="7"/>
  <c r="AC80" i="7" s="1"/>
  <c r="S80" i="7"/>
  <c r="U80" i="7" s="1"/>
  <c r="BJ94" i="7"/>
  <c r="BS94" i="7" s="1"/>
  <c r="BJ82" i="7"/>
  <c r="BS82" i="7" s="1"/>
  <c r="AB82" i="7"/>
  <c r="AD82" i="7" s="1"/>
  <c r="AG82" i="7" s="1"/>
  <c r="T82" i="7"/>
  <c r="V82" i="7" s="1"/>
  <c r="Y82" i="7" s="1"/>
  <c r="BJ107" i="7"/>
  <c r="BS107" i="7" s="1"/>
  <c r="AN73" i="7"/>
  <c r="AM73" i="7"/>
  <c r="AN74" i="7"/>
  <c r="AM74" i="7"/>
  <c r="BB87" i="7"/>
  <c r="BC87" i="7" s="1"/>
  <c r="BD87" i="7" s="1"/>
  <c r="AU80" i="7"/>
  <c r="AV80" i="7"/>
  <c r="AN75" i="7"/>
  <c r="AM75" i="7"/>
  <c r="AV86" i="7"/>
  <c r="AU86" i="7"/>
  <c r="BB73" i="7"/>
  <c r="BC73" i="7" s="1"/>
  <c r="BD73" i="7" s="1"/>
  <c r="BB86" i="7"/>
  <c r="BC86" i="7" s="1"/>
  <c r="BD86" i="7" s="1"/>
  <c r="BB75" i="7"/>
  <c r="BC75" i="7" s="1"/>
  <c r="BD75" i="7" s="1"/>
  <c r="BW55" i="7"/>
  <c r="BJ53" i="7"/>
  <c r="BS53" i="7" s="1"/>
  <c r="AB53" i="7"/>
  <c r="AD53" i="7" s="1"/>
  <c r="AG53" i="7" s="1"/>
  <c r="T53" i="7"/>
  <c r="V53" i="7" s="1"/>
  <c r="Y53" i="7" s="1"/>
  <c r="BJ55" i="7"/>
  <c r="BS55" i="7" s="1"/>
  <c r="BT55" i="7" s="1"/>
  <c r="BU55" i="7" s="1"/>
  <c r="AB55" i="7"/>
  <c r="AD55" i="7" s="1"/>
  <c r="AG55" i="7" s="1"/>
  <c r="T55" i="7"/>
  <c r="V55" i="7" s="1"/>
  <c r="Y55" i="7" s="1"/>
  <c r="BF54" i="7"/>
  <c r="BB54" i="7"/>
  <c r="BC54" i="7" s="1"/>
  <c r="BD54" i="7" s="1"/>
  <c r="BW66" i="7"/>
  <c r="BW60" i="7"/>
  <c r="BF55" i="7"/>
  <c r="BB55" i="7"/>
  <c r="BC55" i="7" s="1"/>
  <c r="BD55" i="7" s="1"/>
  <c r="S57" i="7"/>
  <c r="U57" i="7" s="1"/>
  <c r="AA57" i="7"/>
  <c r="AC57" i="7" s="1"/>
  <c r="S60" i="7"/>
  <c r="U60" i="7" s="1"/>
  <c r="AA60" i="7"/>
  <c r="AC60" i="7" s="1"/>
  <c r="S63" i="7"/>
  <c r="U63" i="7" s="1"/>
  <c r="AA63" i="7"/>
  <c r="AC63" i="7" s="1"/>
  <c r="BJ61" i="7"/>
  <c r="BS61" i="7" s="1"/>
  <c r="BT61" i="7" s="1"/>
  <c r="BU61" i="7" s="1"/>
  <c r="BX61" i="7" s="1"/>
  <c r="AB61" i="7"/>
  <c r="AD61" i="7" s="1"/>
  <c r="AG61" i="7" s="1"/>
  <c r="T61" i="7"/>
  <c r="V61" i="7" s="1"/>
  <c r="Y61" i="7" s="1"/>
  <c r="BJ63" i="7"/>
  <c r="BS63" i="7" s="1"/>
  <c r="BT63" i="7" s="1"/>
  <c r="BU63" i="7" s="1"/>
  <c r="T63" i="7"/>
  <c r="V63" i="7" s="1"/>
  <c r="Y63" i="7" s="1"/>
  <c r="AB63" i="7"/>
  <c r="AD63" i="7" s="1"/>
  <c r="AG63" i="7" s="1"/>
  <c r="BJ57" i="7"/>
  <c r="BS57" i="7" s="1"/>
  <c r="AB57" i="7"/>
  <c r="AD57" i="7" s="1"/>
  <c r="AG57" i="7" s="1"/>
  <c r="T57" i="7"/>
  <c r="V57" i="7" s="1"/>
  <c r="Y57" i="7" s="1"/>
  <c r="BJ92" i="7"/>
  <c r="BS92" i="7" s="1"/>
  <c r="BT92" i="7" s="1"/>
  <c r="BU92" i="7" s="1"/>
  <c r="BX92" i="7" s="1"/>
  <c r="BW54" i="7"/>
  <c r="AN52" i="7"/>
  <c r="AM52" i="7"/>
  <c r="AV57" i="7"/>
  <c r="AU57" i="7"/>
  <c r="BF58" i="7"/>
  <c r="BB58" i="7"/>
  <c r="BC58" i="7" s="1"/>
  <c r="BD58" i="7" s="1"/>
  <c r="AU54" i="7"/>
  <c r="AV54" i="7"/>
  <c r="AU51" i="7"/>
  <c r="AV51" i="7"/>
  <c r="BB68" i="7"/>
  <c r="BC68" i="7" s="1"/>
  <c r="BD68" i="7" s="1"/>
  <c r="BF68" i="7"/>
  <c r="BF66" i="7"/>
  <c r="BB66" i="7"/>
  <c r="BC66" i="7" s="1"/>
  <c r="BD66" i="7" s="1"/>
  <c r="BG66" i="7" s="1"/>
  <c r="AM65" i="7"/>
  <c r="AN65" i="7"/>
  <c r="BJ49" i="7"/>
  <c r="BS49" i="7" s="1"/>
  <c r="BT49" i="7" s="1"/>
  <c r="BU49" i="7" s="1"/>
  <c r="BX49" i="7" s="1"/>
  <c r="AB49" i="7"/>
  <c r="AD49" i="7" s="1"/>
  <c r="AG49" i="7" s="1"/>
  <c r="T49" i="7"/>
  <c r="V49" i="7" s="1"/>
  <c r="Y49" i="7" s="1"/>
  <c r="BF50" i="7"/>
  <c r="BB50" i="7"/>
  <c r="BC50" i="7" s="1"/>
  <c r="BD50" i="7" s="1"/>
  <c r="AV52" i="7"/>
  <c r="AU52" i="7"/>
  <c r="AM57" i="7"/>
  <c r="AN57" i="7"/>
  <c r="AN54" i="7"/>
  <c r="AM54" i="7"/>
  <c r="AM64" i="7"/>
  <c r="AN64" i="7"/>
  <c r="BW57" i="7"/>
  <c r="BT57" i="7"/>
  <c r="BU57" i="7" s="1"/>
  <c r="BX57" i="7" s="1"/>
  <c r="S49" i="7"/>
  <c r="U49" i="7" s="1"/>
  <c r="AA49" i="7"/>
  <c r="AC49" i="7" s="1"/>
  <c r="S55" i="7"/>
  <c r="U55" i="7" s="1"/>
  <c r="AA55" i="7"/>
  <c r="AC55" i="7" s="1"/>
  <c r="S54" i="7"/>
  <c r="U54" i="7" s="1"/>
  <c r="AA54" i="7"/>
  <c r="AC54" i="7" s="1"/>
  <c r="BJ60" i="7"/>
  <c r="BS60" i="7" s="1"/>
  <c r="BT60" i="7" s="1"/>
  <c r="BU60" i="7" s="1"/>
  <c r="T60" i="7"/>
  <c r="V60" i="7" s="1"/>
  <c r="Y60" i="7" s="1"/>
  <c r="AB60" i="7"/>
  <c r="AD60" i="7" s="1"/>
  <c r="AG60" i="7" s="1"/>
  <c r="BJ56" i="7"/>
  <c r="BS56" i="7" s="1"/>
  <c r="BT56" i="7" s="1"/>
  <c r="BU56" i="7" s="1"/>
  <c r="BX56" i="7" s="1"/>
  <c r="T56" i="7"/>
  <c r="V56" i="7" s="1"/>
  <c r="Y56" i="7" s="1"/>
  <c r="AB56" i="7"/>
  <c r="AD56" i="7" s="1"/>
  <c r="AG56" i="7" s="1"/>
  <c r="BJ64" i="7"/>
  <c r="BS64" i="7" s="1"/>
  <c r="T64" i="7"/>
  <c r="V64" i="7" s="1"/>
  <c r="Y64" i="7" s="1"/>
  <c r="AB64" i="7"/>
  <c r="AD64" i="7" s="1"/>
  <c r="AG64" i="7" s="1"/>
  <c r="BJ65" i="7"/>
  <c r="BS65" i="7" s="1"/>
  <c r="AB65" i="7"/>
  <c r="AD65" i="7" s="1"/>
  <c r="AG65" i="7" s="1"/>
  <c r="T65" i="7"/>
  <c r="V65" i="7" s="1"/>
  <c r="Y65" i="7" s="1"/>
  <c r="BJ51" i="7"/>
  <c r="BS51" i="7" s="1"/>
  <c r="BT51" i="7" s="1"/>
  <c r="BU51" i="7" s="1"/>
  <c r="AB51" i="7"/>
  <c r="AD51" i="7" s="1"/>
  <c r="AG51" i="7" s="1"/>
  <c r="T51" i="7"/>
  <c r="V51" i="7" s="1"/>
  <c r="Y51" i="7" s="1"/>
  <c r="BF53" i="7"/>
  <c r="BB53" i="7"/>
  <c r="BC53" i="7" s="1"/>
  <c r="BD53" i="7" s="1"/>
  <c r="AM63" i="7"/>
  <c r="AN63" i="7"/>
  <c r="BW49" i="7"/>
  <c r="AU50" i="7"/>
  <c r="AV50" i="7"/>
  <c r="AU55" i="7"/>
  <c r="AV55" i="7"/>
  <c r="BW58" i="7"/>
  <c r="AU61" i="7"/>
  <c r="AV61" i="7"/>
  <c r="AM51" i="7"/>
  <c r="AN51" i="7"/>
  <c r="BW68" i="7"/>
  <c r="BW61" i="7"/>
  <c r="AM62" i="7"/>
  <c r="AN62" i="7"/>
  <c r="S59" i="7"/>
  <c r="U59" i="7" s="1"/>
  <c r="AA59" i="7"/>
  <c r="AC59" i="7" s="1"/>
  <c r="AA56" i="7"/>
  <c r="AC56" i="7" s="1"/>
  <c r="S56" i="7"/>
  <c r="U56" i="7" s="1"/>
  <c r="BW50" i="7"/>
  <c r="BF60" i="7"/>
  <c r="BB60" i="7"/>
  <c r="BC60" i="7" s="1"/>
  <c r="BD60" i="7" s="1"/>
  <c r="BW56" i="7"/>
  <c r="AA65" i="7"/>
  <c r="AC65" i="7" s="1"/>
  <c r="S65" i="7"/>
  <c r="U65" i="7" s="1"/>
  <c r="AA61" i="7"/>
  <c r="AC61" i="7" s="1"/>
  <c r="S61" i="7"/>
  <c r="U61" i="7" s="1"/>
  <c r="BJ59" i="7"/>
  <c r="BS59" i="7" s="1"/>
  <c r="BT59" i="7" s="1"/>
  <c r="BU59" i="7" s="1"/>
  <c r="AB59" i="7"/>
  <c r="AD59" i="7" s="1"/>
  <c r="AG59" i="7" s="1"/>
  <c r="T59" i="7"/>
  <c r="V59" i="7" s="1"/>
  <c r="Y59" i="7" s="1"/>
  <c r="AV67" i="7"/>
  <c r="AU67" i="7"/>
  <c r="BW51" i="7"/>
  <c r="AM50" i="7"/>
  <c r="AN50" i="7"/>
  <c r="AN58" i="7"/>
  <c r="AM58" i="7"/>
  <c r="AU62" i="7"/>
  <c r="AV62" i="7"/>
  <c r="S62" i="7"/>
  <c r="U62" i="7" s="1"/>
  <c r="AA62" i="7"/>
  <c r="AC62" i="7" s="1"/>
  <c r="AA50" i="7"/>
  <c r="AC50" i="7" s="1"/>
  <c r="S50" i="7"/>
  <c r="U50" i="7" s="1"/>
  <c r="AA51" i="7"/>
  <c r="AC51" i="7" s="1"/>
  <c r="S51" i="7"/>
  <c r="U51" i="7" s="1"/>
  <c r="BJ54" i="7"/>
  <c r="BS54" i="7" s="1"/>
  <c r="BT54" i="7" s="1"/>
  <c r="BU54" i="7" s="1"/>
  <c r="T54" i="7"/>
  <c r="V54" i="7" s="1"/>
  <c r="Y54" i="7" s="1"/>
  <c r="AB54" i="7"/>
  <c r="AD54" i="7" s="1"/>
  <c r="AG54" i="7" s="1"/>
  <c r="BJ87" i="7"/>
  <c r="BS87" i="7" s="1"/>
  <c r="BT87" i="7" s="1"/>
  <c r="BU87" i="7" s="1"/>
  <c r="BJ106" i="7"/>
  <c r="BS106" i="7" s="1"/>
  <c r="BT106" i="7" s="1"/>
  <c r="BU106" i="7" s="1"/>
  <c r="BX106" i="7" s="1"/>
  <c r="BJ67" i="7"/>
  <c r="BS67" i="7" s="1"/>
  <c r="AB67" i="7"/>
  <c r="AD67" i="7" s="1"/>
  <c r="AG67" i="7" s="1"/>
  <c r="T67" i="7"/>
  <c r="V67" i="7" s="1"/>
  <c r="Y67" i="7" s="1"/>
  <c r="AM67" i="7"/>
  <c r="AN67" i="7"/>
  <c r="BB51" i="7"/>
  <c r="BC51" i="7" s="1"/>
  <c r="BD51" i="7" s="1"/>
  <c r="BF51" i="7"/>
  <c r="BB52" i="7"/>
  <c r="BC52" i="7" s="1"/>
  <c r="BD52" i="7" s="1"/>
  <c r="BF52" i="7"/>
  <c r="BB62" i="7"/>
  <c r="BC62" i="7" s="1"/>
  <c r="BD62" i="7" s="1"/>
  <c r="BF62" i="7"/>
  <c r="AV68" i="7"/>
  <c r="AU68" i="7"/>
  <c r="AV60" i="7"/>
  <c r="AU60" i="7"/>
  <c r="AN49" i="7"/>
  <c r="AM49" i="7"/>
  <c r="AU58" i="7"/>
  <c r="AV58" i="7"/>
  <c r="BW59" i="7"/>
  <c r="BF65" i="7"/>
  <c r="BB65" i="7"/>
  <c r="BC65" i="7" s="1"/>
  <c r="BD65" i="7" s="1"/>
  <c r="S64" i="7"/>
  <c r="U64" i="7" s="1"/>
  <c r="AA64" i="7"/>
  <c r="AC64" i="7" s="1"/>
  <c r="AN56" i="7"/>
  <c r="AM56" i="7"/>
  <c r="AV64" i="7"/>
  <c r="AU64" i="7"/>
  <c r="AA53" i="7"/>
  <c r="AC53" i="7" s="1"/>
  <c r="S53" i="7"/>
  <c r="U53" i="7" s="1"/>
  <c r="AA58" i="7"/>
  <c r="AC58" i="7" s="1"/>
  <c r="S58" i="7"/>
  <c r="U58" i="7" s="1"/>
  <c r="AV63" i="7"/>
  <c r="AU63" i="7"/>
  <c r="AA52" i="7"/>
  <c r="AC52" i="7" s="1"/>
  <c r="S52" i="7"/>
  <c r="U52" i="7" s="1"/>
  <c r="BJ62" i="7"/>
  <c r="BS62" i="7" s="1"/>
  <c r="BT62" i="7" s="1"/>
  <c r="BU62" i="7" s="1"/>
  <c r="T62" i="7"/>
  <c r="V62" i="7" s="1"/>
  <c r="Y62" i="7" s="1"/>
  <c r="AB62" i="7"/>
  <c r="AD62" i="7" s="1"/>
  <c r="AG62" i="7" s="1"/>
  <c r="BJ88" i="7"/>
  <c r="BS88" i="7" s="1"/>
  <c r="BJ50" i="7"/>
  <c r="BS50" i="7" s="1"/>
  <c r="BT50" i="7" s="1"/>
  <c r="BU50" i="7" s="1"/>
  <c r="T50" i="7"/>
  <c r="V50" i="7" s="1"/>
  <c r="Y50" i="7" s="1"/>
  <c r="AB50" i="7"/>
  <c r="AD50" i="7" s="1"/>
  <c r="AG50" i="7" s="1"/>
  <c r="BJ52" i="7"/>
  <c r="BS52" i="7" s="1"/>
  <c r="AB52" i="7"/>
  <c r="AD52" i="7" s="1"/>
  <c r="AG52" i="7" s="1"/>
  <c r="T52" i="7"/>
  <c r="V52" i="7" s="1"/>
  <c r="Y52" i="7" s="1"/>
  <c r="AN59" i="7"/>
  <c r="AM59" i="7"/>
  <c r="BF63" i="7"/>
  <c r="BB63" i="7"/>
  <c r="BC63" i="7" s="1"/>
  <c r="BD63" i="7" s="1"/>
  <c r="BW52" i="7"/>
  <c r="BT52" i="7"/>
  <c r="BU52" i="7" s="1"/>
  <c r="BX52" i="7" s="1"/>
  <c r="BW64" i="7"/>
  <c r="BT64" i="7"/>
  <c r="BU64" i="7" s="1"/>
  <c r="BX64" i="7" s="1"/>
  <c r="BW62" i="7"/>
  <c r="AN68" i="7"/>
  <c r="AM68" i="7"/>
  <c r="AM60" i="7"/>
  <c r="AN60" i="7"/>
  <c r="AV49" i="7"/>
  <c r="AU49" i="7"/>
  <c r="AN53" i="7"/>
  <c r="AM53" i="7"/>
  <c r="BB59" i="7"/>
  <c r="BC59" i="7" s="1"/>
  <c r="BD59" i="7" s="1"/>
  <c r="BF59" i="7"/>
  <c r="AN66" i="7"/>
  <c r="AM66" i="7"/>
  <c r="BW65" i="7"/>
  <c r="BT65" i="7"/>
  <c r="BU65" i="7" s="1"/>
  <c r="BX65" i="7" s="1"/>
  <c r="BJ66" i="7"/>
  <c r="BS66" i="7" s="1"/>
  <c r="BT66" i="7" s="1"/>
  <c r="BU66" i="7" s="1"/>
  <c r="BX66" i="7" s="1"/>
  <c r="T66" i="7"/>
  <c r="V66" i="7" s="1"/>
  <c r="Y66" i="7" s="1"/>
  <c r="AB66" i="7"/>
  <c r="AD66" i="7" s="1"/>
  <c r="AG66" i="7" s="1"/>
  <c r="BF67" i="7"/>
  <c r="BB67" i="7"/>
  <c r="BC67" i="7" s="1"/>
  <c r="BD67" i="7" s="1"/>
  <c r="BB57" i="7"/>
  <c r="BC57" i="7" s="1"/>
  <c r="BD57" i="7" s="1"/>
  <c r="BF57" i="7"/>
  <c r="BW53" i="7"/>
  <c r="BT53" i="7"/>
  <c r="BU53" i="7" s="1"/>
  <c r="BX53" i="7" s="1"/>
  <c r="BF49" i="7"/>
  <c r="BB49" i="7"/>
  <c r="BC49" i="7" s="1"/>
  <c r="BD49" i="7" s="1"/>
  <c r="BG49" i="7" s="1"/>
  <c r="AM55" i="7"/>
  <c r="AN55" i="7"/>
  <c r="AN61" i="7"/>
  <c r="AM61" i="7"/>
  <c r="BF61" i="7"/>
  <c r="BC61" i="7"/>
  <c r="BD61" i="7" s="1"/>
  <c r="BG61" i="7" s="1"/>
  <c r="BB61" i="7"/>
  <c r="S68" i="7"/>
  <c r="U68" i="7" s="1"/>
  <c r="AA68" i="7"/>
  <c r="AC68" i="7" s="1"/>
  <c r="AA66" i="7"/>
  <c r="AC66" i="7" s="1"/>
  <c r="S66" i="7"/>
  <c r="U66" i="7" s="1"/>
  <c r="S67" i="7"/>
  <c r="U67" i="7" s="1"/>
  <c r="AA67" i="7"/>
  <c r="AC67" i="7" s="1"/>
  <c r="BJ101" i="7"/>
  <c r="BS101" i="7" s="1"/>
  <c r="BT101" i="7" s="1"/>
  <c r="BU101" i="7" s="1"/>
  <c r="BX101" i="7" s="1"/>
  <c r="BJ70" i="7"/>
  <c r="BS70" i="7" s="1"/>
  <c r="BJ97" i="7"/>
  <c r="BS97" i="7" s="1"/>
  <c r="BJ58" i="7"/>
  <c r="BS58" i="7" s="1"/>
  <c r="BT58" i="7" s="1"/>
  <c r="BU58" i="7" s="1"/>
  <c r="AB58" i="7"/>
  <c r="AD58" i="7" s="1"/>
  <c r="AG58" i="7" s="1"/>
  <c r="T58" i="7"/>
  <c r="V58" i="7" s="1"/>
  <c r="Y58" i="7" s="1"/>
  <c r="BJ68" i="7"/>
  <c r="BS68" i="7" s="1"/>
  <c r="BT68" i="7" s="1"/>
  <c r="BU68" i="7" s="1"/>
  <c r="T68" i="7"/>
  <c r="V68" i="7" s="1"/>
  <c r="Y68" i="7" s="1"/>
  <c r="AB68" i="7"/>
  <c r="AD68" i="7" s="1"/>
  <c r="AG68" i="7" s="1"/>
  <c r="AU59" i="7"/>
  <c r="AV59" i="7"/>
  <c r="BW63" i="7"/>
  <c r="AV56" i="7"/>
  <c r="AU56" i="7"/>
  <c r="BB64" i="7"/>
  <c r="BC64" i="7" s="1"/>
  <c r="BD64" i="7" s="1"/>
  <c r="BF64" i="7"/>
  <c r="BW67" i="7"/>
  <c r="BT67" i="7"/>
  <c r="BU67" i="7" s="1"/>
  <c r="BX67" i="7" s="1"/>
  <c r="AV65" i="7"/>
  <c r="AU65" i="7"/>
  <c r="BF56" i="7"/>
  <c r="BB56" i="7"/>
  <c r="BC56" i="7" s="1"/>
  <c r="BD56" i="7" s="1"/>
  <c r="AU53" i="7"/>
  <c r="AV53" i="7"/>
  <c r="AU66" i="7"/>
  <c r="AV66" i="7"/>
  <c r="BB37" i="7"/>
  <c r="BC37" i="7" s="1"/>
  <c r="BD37" i="7" s="1"/>
  <c r="BF37" i="7"/>
  <c r="BW81" i="7"/>
  <c r="BT81" i="7"/>
  <c r="BU81" i="7" s="1"/>
  <c r="BX81" i="7" s="1"/>
  <c r="S44" i="7"/>
  <c r="U44" i="7" s="1"/>
  <c r="AA44" i="7"/>
  <c r="AC44" i="7" s="1"/>
  <c r="AA41" i="7"/>
  <c r="AC41" i="7" s="1"/>
  <c r="S41" i="7"/>
  <c r="U41" i="7" s="1"/>
  <c r="AA46" i="7"/>
  <c r="AC46" i="7" s="1"/>
  <c r="S46" i="7"/>
  <c r="U46" i="7" s="1"/>
  <c r="AQ33" i="7"/>
  <c r="AS33" i="7" s="1"/>
  <c r="AI33" i="7"/>
  <c r="AK33" i="7" s="1"/>
  <c r="AQ34" i="7"/>
  <c r="AS34" i="7" s="1"/>
  <c r="AI34" i="7"/>
  <c r="AK34" i="7" s="1"/>
  <c r="BJ37" i="7"/>
  <c r="BS37" i="7" s="1"/>
  <c r="BT37" i="7" s="1"/>
  <c r="BU37" i="7" s="1"/>
  <c r="T37" i="7"/>
  <c r="V37" i="7" s="1"/>
  <c r="Y37" i="7" s="1"/>
  <c r="AB37" i="7"/>
  <c r="AD37" i="7" s="1"/>
  <c r="AG37" i="7" s="1"/>
  <c r="BJ39" i="7"/>
  <c r="BS39" i="7" s="1"/>
  <c r="BT39" i="7" s="1"/>
  <c r="BU39" i="7" s="1"/>
  <c r="AB39" i="7"/>
  <c r="AD39" i="7" s="1"/>
  <c r="AG39" i="7" s="1"/>
  <c r="T39" i="7"/>
  <c r="V39" i="7" s="1"/>
  <c r="Y39" i="7" s="1"/>
  <c r="BJ33" i="7"/>
  <c r="BS33" i="7" s="1"/>
  <c r="BT33" i="7" s="1"/>
  <c r="BU33" i="7" s="1"/>
  <c r="T33" i="7"/>
  <c r="V33" i="7" s="1"/>
  <c r="Y33" i="7" s="1"/>
  <c r="AB33" i="7"/>
  <c r="AD33" i="7" s="1"/>
  <c r="AG33" i="7" s="1"/>
  <c r="S30" i="7"/>
  <c r="U30" i="7" s="1"/>
  <c r="AA30" i="7"/>
  <c r="AC30" i="7" s="1"/>
  <c r="AA33" i="7"/>
  <c r="AC33" i="7" s="1"/>
  <c r="S33" i="7"/>
  <c r="U33" i="7" s="1"/>
  <c r="AU42" i="7"/>
  <c r="AV41" i="7"/>
  <c r="AU41" i="7"/>
  <c r="AV40" i="7"/>
  <c r="AU40" i="7"/>
  <c r="BJ31" i="7"/>
  <c r="BS31" i="7" s="1"/>
  <c r="BT31" i="7" s="1"/>
  <c r="BU31" i="7" s="1"/>
  <c r="AB31" i="7"/>
  <c r="AD31" i="7" s="1"/>
  <c r="AG31" i="7" s="1"/>
  <c r="T31" i="7"/>
  <c r="V31" i="7" s="1"/>
  <c r="Y31" i="7" s="1"/>
  <c r="BW74" i="7"/>
  <c r="BT74" i="7"/>
  <c r="BU74" i="7" s="1"/>
  <c r="BX74" i="7" s="1"/>
  <c r="BF38" i="7"/>
  <c r="BB38" i="7"/>
  <c r="BC38" i="7" s="1"/>
  <c r="BD38" i="7" s="1"/>
  <c r="AA42" i="7"/>
  <c r="AC42" i="7" s="1"/>
  <c r="S42" i="7"/>
  <c r="U42" i="7" s="1"/>
  <c r="AI38" i="7"/>
  <c r="AK38" i="7" s="1"/>
  <c r="AQ38" i="7"/>
  <c r="AS38" i="7" s="1"/>
  <c r="BJ45" i="7"/>
  <c r="BS45" i="7" s="1"/>
  <c r="BT45" i="7" s="1"/>
  <c r="BU45" i="7" s="1"/>
  <c r="T45" i="7"/>
  <c r="V45" i="7" s="1"/>
  <c r="Y45" i="7" s="1"/>
  <c r="AB45" i="7"/>
  <c r="AD45" i="7" s="1"/>
  <c r="AG45" i="7" s="1"/>
  <c r="BJ47" i="7"/>
  <c r="BS47" i="7" s="1"/>
  <c r="BT47" i="7" s="1"/>
  <c r="BU47" i="7" s="1"/>
  <c r="T47" i="7"/>
  <c r="V47" i="7" s="1"/>
  <c r="Y47" i="7" s="1"/>
  <c r="AB47" i="7"/>
  <c r="AD47" i="7" s="1"/>
  <c r="AG47" i="7" s="1"/>
  <c r="BJ41" i="7"/>
  <c r="T41" i="7"/>
  <c r="V41" i="7" s="1"/>
  <c r="Y41" i="7" s="1"/>
  <c r="AB41" i="7"/>
  <c r="AD41" i="7" s="1"/>
  <c r="AG41" i="7" s="1"/>
  <c r="AN45" i="7"/>
  <c r="AM45" i="7"/>
  <c r="BW76" i="7"/>
  <c r="AV43" i="7"/>
  <c r="AU43" i="7"/>
  <c r="BW85" i="7"/>
  <c r="BT85" i="7"/>
  <c r="BU85" i="7" s="1"/>
  <c r="BX85" i="7" s="1"/>
  <c r="AU48" i="7"/>
  <c r="AV48" i="7"/>
  <c r="BF43" i="7"/>
  <c r="BB43" i="7"/>
  <c r="BC43" i="7" s="1"/>
  <c r="BD43" i="7" s="1"/>
  <c r="BB46" i="7"/>
  <c r="BC46" i="7" s="1"/>
  <c r="BD46" i="7" s="1"/>
  <c r="BF46" i="7"/>
  <c r="AV47" i="7"/>
  <c r="AU47" i="7"/>
  <c r="BW69" i="7"/>
  <c r="BT69" i="7"/>
  <c r="BU69" i="7" s="1"/>
  <c r="BX69" i="7" s="1"/>
  <c r="BF31" i="7"/>
  <c r="BB31" i="7"/>
  <c r="BC31" i="7" s="1"/>
  <c r="BD31" i="7" s="1"/>
  <c r="BW83" i="7"/>
  <c r="BT83" i="7"/>
  <c r="BU83" i="7" s="1"/>
  <c r="BX83" i="7" s="1"/>
  <c r="BF36" i="7"/>
  <c r="BB36" i="7"/>
  <c r="BC36" i="7" s="1"/>
  <c r="BD36" i="7" s="1"/>
  <c r="BW82" i="7"/>
  <c r="BT82" i="7"/>
  <c r="BU82" i="7" s="1"/>
  <c r="BX82" i="7" s="1"/>
  <c r="AA39" i="7"/>
  <c r="AC39" i="7" s="1"/>
  <c r="S39" i="7"/>
  <c r="U39" i="7" s="1"/>
  <c r="AA45" i="7"/>
  <c r="AC45" i="7" s="1"/>
  <c r="S45" i="7"/>
  <c r="U45" i="7" s="1"/>
  <c r="BF44" i="7"/>
  <c r="BB44" i="7"/>
  <c r="BC44" i="7" s="1"/>
  <c r="BD44" i="7" s="1"/>
  <c r="BB40" i="7"/>
  <c r="BC40" i="7" s="1"/>
  <c r="BD40" i="7" s="1"/>
  <c r="BF40" i="7"/>
  <c r="AA43" i="7"/>
  <c r="AC43" i="7" s="1"/>
  <c r="S43" i="7"/>
  <c r="U43" i="7" s="1"/>
  <c r="S40" i="7"/>
  <c r="U40" i="7" s="1"/>
  <c r="AA40" i="7"/>
  <c r="AC40" i="7" s="1"/>
  <c r="BJ32" i="7"/>
  <c r="BS32" i="7" s="1"/>
  <c r="BT32" i="7" s="1"/>
  <c r="BU32" i="7" s="1"/>
  <c r="T32" i="7"/>
  <c r="V32" i="7" s="1"/>
  <c r="Y32" i="7" s="1"/>
  <c r="AB32" i="7"/>
  <c r="AD32" i="7" s="1"/>
  <c r="AG32" i="7" s="1"/>
  <c r="BJ35" i="7"/>
  <c r="BS35" i="7" s="1"/>
  <c r="BT35" i="7" s="1"/>
  <c r="BU35" i="7" s="1"/>
  <c r="AB35" i="7"/>
  <c r="AD35" i="7" s="1"/>
  <c r="AG35" i="7" s="1"/>
  <c r="T35" i="7"/>
  <c r="V35" i="7" s="1"/>
  <c r="Y35" i="7" s="1"/>
  <c r="AA36" i="7"/>
  <c r="AC36" i="7" s="1"/>
  <c r="S36" i="7"/>
  <c r="U36" i="7" s="1"/>
  <c r="S38" i="7"/>
  <c r="U38" i="7" s="1"/>
  <c r="AA38" i="7"/>
  <c r="AC38" i="7" s="1"/>
  <c r="AV45" i="7"/>
  <c r="AU45" i="7"/>
  <c r="AM43" i="7"/>
  <c r="AN43" i="7"/>
  <c r="AM48" i="7"/>
  <c r="AN48" i="7"/>
  <c r="AN47" i="7"/>
  <c r="AM47" i="7"/>
  <c r="BT78" i="7"/>
  <c r="BU78" i="7" s="1"/>
  <c r="BX78" i="7" s="1"/>
  <c r="BV78" i="7"/>
  <c r="BW78" i="7"/>
  <c r="AN40" i="7"/>
  <c r="AM40" i="7"/>
  <c r="AI29" i="7"/>
  <c r="AK29" i="7" s="1"/>
  <c r="AQ29" i="7"/>
  <c r="AS29" i="7" s="1"/>
  <c r="AI30" i="7"/>
  <c r="AK30" i="7" s="1"/>
  <c r="AQ30" i="7"/>
  <c r="AS30" i="7" s="1"/>
  <c r="AI32" i="7"/>
  <c r="AK32" i="7" s="1"/>
  <c r="AQ32" i="7"/>
  <c r="AS32" i="7" s="1"/>
  <c r="BJ36" i="7"/>
  <c r="AB36" i="7"/>
  <c r="AD36" i="7" s="1"/>
  <c r="AG36" i="7" s="1"/>
  <c r="T36" i="7"/>
  <c r="V36" i="7" s="1"/>
  <c r="Y36" i="7" s="1"/>
  <c r="BJ30" i="7"/>
  <c r="BS30" i="7" s="1"/>
  <c r="BT30" i="7" s="1"/>
  <c r="BU30" i="7" s="1"/>
  <c r="T30" i="7"/>
  <c r="V30" i="7" s="1"/>
  <c r="Y30" i="7" s="1"/>
  <c r="AB30" i="7"/>
  <c r="AD30" i="7" s="1"/>
  <c r="AG30" i="7" s="1"/>
  <c r="BJ48" i="7"/>
  <c r="BS48" i="7" s="1"/>
  <c r="BT48" i="7" s="1"/>
  <c r="BU48" i="7" s="1"/>
  <c r="AB48" i="7"/>
  <c r="AD48" i="7" s="1"/>
  <c r="AG48" i="7" s="1"/>
  <c r="T48" i="7"/>
  <c r="V48" i="7" s="1"/>
  <c r="Y48" i="7" s="1"/>
  <c r="BJ40" i="7"/>
  <c r="BS40" i="7" s="1"/>
  <c r="BT40" i="7" s="1"/>
  <c r="BU40" i="7" s="1"/>
  <c r="AB40" i="7"/>
  <c r="AD40" i="7" s="1"/>
  <c r="AG40" i="7" s="1"/>
  <c r="T40" i="7"/>
  <c r="V40" i="7" s="1"/>
  <c r="Y40" i="7" s="1"/>
  <c r="BJ43" i="7"/>
  <c r="T43" i="7"/>
  <c r="V43" i="7" s="1"/>
  <c r="Y43" i="7" s="1"/>
  <c r="AB43" i="7"/>
  <c r="AD43" i="7" s="1"/>
  <c r="AG43" i="7" s="1"/>
  <c r="AA29" i="7"/>
  <c r="AC29" i="7" s="1"/>
  <c r="S29" i="7"/>
  <c r="U29" i="7" s="1"/>
  <c r="BF48" i="7"/>
  <c r="BB48" i="7"/>
  <c r="BC48" i="7" s="1"/>
  <c r="BD48" i="7" s="1"/>
  <c r="BW75" i="7"/>
  <c r="BT75" i="7"/>
  <c r="BU75" i="7" s="1"/>
  <c r="BX75" i="7" s="1"/>
  <c r="BT79" i="7"/>
  <c r="BU79" i="7" s="1"/>
  <c r="BX79" i="7" s="1"/>
  <c r="BW79" i="7"/>
  <c r="BB41" i="7"/>
  <c r="BC41" i="7" s="1"/>
  <c r="BD41" i="7" s="1"/>
  <c r="BF41" i="7"/>
  <c r="BF42" i="7"/>
  <c r="BB42" i="7"/>
  <c r="BC42" i="7" s="1"/>
  <c r="BD42" i="7" s="1"/>
  <c r="BW87" i="7"/>
  <c r="BW77" i="7"/>
  <c r="BB29" i="7"/>
  <c r="BC29" i="7" s="1"/>
  <c r="BD29" i="7" s="1"/>
  <c r="BF29" i="7"/>
  <c r="BF32" i="7"/>
  <c r="BB32" i="7"/>
  <c r="BC32" i="7" s="1"/>
  <c r="BD32" i="7" s="1"/>
  <c r="BF35" i="7"/>
  <c r="BB35" i="7"/>
  <c r="BC35" i="7" s="1"/>
  <c r="BD35" i="7" s="1"/>
  <c r="BT70" i="7"/>
  <c r="BU70" i="7" s="1"/>
  <c r="BX70" i="7" s="1"/>
  <c r="BW70" i="7"/>
  <c r="BF34" i="7"/>
  <c r="BB34" i="7"/>
  <c r="BC34" i="7" s="1"/>
  <c r="BD34" i="7" s="1"/>
  <c r="AF34" i="7"/>
  <c r="AQ36" i="7"/>
  <c r="AS36" i="7" s="1"/>
  <c r="AI36" i="7"/>
  <c r="AK36" i="7" s="1"/>
  <c r="AN41" i="7"/>
  <c r="AM41" i="7"/>
  <c r="BJ38" i="7"/>
  <c r="BS38" i="7" s="1"/>
  <c r="BT38" i="7" s="1"/>
  <c r="BU38" i="7" s="1"/>
  <c r="AB38" i="7"/>
  <c r="AD38" i="7" s="1"/>
  <c r="AG38" i="7" s="1"/>
  <c r="T38" i="7"/>
  <c r="V38" i="7" s="1"/>
  <c r="Y38" i="7" s="1"/>
  <c r="AA31" i="7"/>
  <c r="AC31" i="7" s="1"/>
  <c r="S31" i="7"/>
  <c r="U31" i="7" s="1"/>
  <c r="S32" i="7"/>
  <c r="U32" i="7" s="1"/>
  <c r="AA32" i="7"/>
  <c r="AC32" i="7" s="1"/>
  <c r="X34" i="7"/>
  <c r="BW84" i="7"/>
  <c r="BT84" i="7"/>
  <c r="BU84" i="7" s="1"/>
  <c r="BX84" i="7" s="1"/>
  <c r="BB33" i="7"/>
  <c r="BC33" i="7" s="1"/>
  <c r="BD33" i="7" s="1"/>
  <c r="BF33" i="7"/>
  <c r="AA47" i="7"/>
  <c r="AC47" i="7" s="1"/>
  <c r="S47" i="7"/>
  <c r="U47" i="7" s="1"/>
  <c r="AI31" i="7"/>
  <c r="AK31" i="7" s="1"/>
  <c r="AQ31" i="7"/>
  <c r="AS31" i="7" s="1"/>
  <c r="BJ46" i="7"/>
  <c r="BS46" i="7" s="1"/>
  <c r="BT46" i="7" s="1"/>
  <c r="BU46" i="7" s="1"/>
  <c r="AB46" i="7"/>
  <c r="AD46" i="7" s="1"/>
  <c r="AG46" i="7" s="1"/>
  <c r="T46" i="7"/>
  <c r="V46" i="7" s="1"/>
  <c r="Y46" i="7" s="1"/>
  <c r="BJ34" i="7"/>
  <c r="BS34" i="7" s="1"/>
  <c r="BT34" i="7" s="1"/>
  <c r="BU34" i="7" s="1"/>
  <c r="AB34" i="7"/>
  <c r="AD34" i="7" s="1"/>
  <c r="AG34" i="7" s="1"/>
  <c r="T34" i="7"/>
  <c r="V34" i="7" s="1"/>
  <c r="Y34" i="7" s="1"/>
  <c r="AA35" i="7"/>
  <c r="AC35" i="7" s="1"/>
  <c r="S35" i="7"/>
  <c r="U35" i="7" s="1"/>
  <c r="AA37" i="7"/>
  <c r="AC37" i="7" s="1"/>
  <c r="S37" i="7"/>
  <c r="U37" i="7" s="1"/>
  <c r="BW88" i="7"/>
  <c r="BT88" i="7"/>
  <c r="BU88" i="7" s="1"/>
  <c r="BX88" i="7" s="1"/>
  <c r="AM42" i="7"/>
  <c r="BB45" i="7"/>
  <c r="BC45" i="7" s="1"/>
  <c r="BD45" i="7" s="1"/>
  <c r="BF45" i="7"/>
  <c r="AN44" i="7"/>
  <c r="AM44" i="7"/>
  <c r="BF30" i="7"/>
  <c r="BB30" i="7"/>
  <c r="BC30" i="7" s="1"/>
  <c r="BD30" i="7" s="1"/>
  <c r="BG30" i="7" s="1"/>
  <c r="BF47" i="7"/>
  <c r="BB47" i="7"/>
  <c r="BC47" i="7" s="1"/>
  <c r="BD47" i="7" s="1"/>
  <c r="AN46" i="7"/>
  <c r="AM46" i="7"/>
  <c r="AV39" i="7"/>
  <c r="AU39" i="7"/>
  <c r="BW80" i="7"/>
  <c r="BT80" i="7"/>
  <c r="BU80" i="7" s="1"/>
  <c r="BX80" i="7" s="1"/>
  <c r="BW73" i="7"/>
  <c r="BT73" i="7"/>
  <c r="BU73" i="7" s="1"/>
  <c r="BX73" i="7" s="1"/>
  <c r="BW86" i="7"/>
  <c r="BT86" i="7"/>
  <c r="BU86" i="7" s="1"/>
  <c r="BX86" i="7" s="1"/>
  <c r="BW71" i="7"/>
  <c r="BT71" i="7"/>
  <c r="BU71" i="7" s="1"/>
  <c r="BX71" i="7" s="1"/>
  <c r="BW72" i="7"/>
  <c r="BT72" i="7"/>
  <c r="BU72" i="7" s="1"/>
  <c r="BX72" i="7" s="1"/>
  <c r="AI37" i="7"/>
  <c r="AK37" i="7" s="1"/>
  <c r="AQ37" i="7"/>
  <c r="AS37" i="7" s="1"/>
  <c r="BJ29" i="7"/>
  <c r="BS29" i="7" s="1"/>
  <c r="BT29" i="7" s="1"/>
  <c r="BU29" i="7" s="1"/>
  <c r="AB29" i="7"/>
  <c r="AD29" i="7" s="1"/>
  <c r="AG29" i="7" s="1"/>
  <c r="T29" i="7"/>
  <c r="V29" i="7" s="1"/>
  <c r="Y29" i="7" s="1"/>
  <c r="BB39" i="7"/>
  <c r="BC39" i="7" s="1"/>
  <c r="BD39" i="7" s="1"/>
  <c r="BF39" i="7"/>
  <c r="AA48" i="7"/>
  <c r="AC48" i="7" s="1"/>
  <c r="S48" i="7"/>
  <c r="U48" i="7" s="1"/>
  <c r="AI35" i="7"/>
  <c r="AK35" i="7" s="1"/>
  <c r="AQ35" i="7"/>
  <c r="AS35" i="7" s="1"/>
  <c r="BJ42" i="7"/>
  <c r="BS42" i="7" s="1"/>
  <c r="BT42" i="7" s="1"/>
  <c r="BU42" i="7" s="1"/>
  <c r="AB42" i="7"/>
  <c r="AD42" i="7" s="1"/>
  <c r="AG42" i="7" s="1"/>
  <c r="T42" i="7"/>
  <c r="V42" i="7" s="1"/>
  <c r="Y42" i="7" s="1"/>
  <c r="BJ44" i="7"/>
  <c r="BS44" i="7" s="1"/>
  <c r="BT44" i="7" s="1"/>
  <c r="BU44" i="7" s="1"/>
  <c r="T44" i="7"/>
  <c r="V44" i="7" s="1"/>
  <c r="Y44" i="7" s="1"/>
  <c r="AB44" i="7"/>
  <c r="AD44" i="7" s="1"/>
  <c r="AG44" i="7" s="1"/>
  <c r="AV44" i="7"/>
  <c r="AU44" i="7"/>
  <c r="AU46" i="7"/>
  <c r="AV46" i="7"/>
  <c r="AN39" i="7"/>
  <c r="AM39" i="7"/>
  <c r="BJ22" i="7"/>
  <c r="BS22" i="7" s="1"/>
  <c r="BT22" i="7" s="1"/>
  <c r="BU22" i="7" s="1"/>
  <c r="T22" i="7"/>
  <c r="V22" i="7" s="1"/>
  <c r="Y22" i="7" s="1"/>
  <c r="AB22" i="7"/>
  <c r="AD22" i="7" s="1"/>
  <c r="AG22" i="7" s="1"/>
  <c r="S27" i="7"/>
  <c r="U27" i="7" s="1"/>
  <c r="AA27" i="7"/>
  <c r="AC27" i="7" s="1"/>
  <c r="BW90" i="7"/>
  <c r="BT90" i="7"/>
  <c r="BU90" i="7" s="1"/>
  <c r="BX90" i="7" s="1"/>
  <c r="S12" i="7"/>
  <c r="U12" i="7" s="1"/>
  <c r="X12" i="7" s="1"/>
  <c r="BJ24" i="7"/>
  <c r="BS24" i="7" s="1"/>
  <c r="BT24" i="7" s="1"/>
  <c r="BU24" i="7" s="1"/>
  <c r="AB24" i="7"/>
  <c r="AD24" i="7" s="1"/>
  <c r="AG24" i="7" s="1"/>
  <c r="T24" i="7"/>
  <c r="V24" i="7" s="1"/>
  <c r="Y24" i="7" s="1"/>
  <c r="BF23" i="7"/>
  <c r="BB23" i="7"/>
  <c r="BC23" i="7" s="1"/>
  <c r="BD23" i="7" s="1"/>
  <c r="AI27" i="7"/>
  <c r="AK27" i="7" s="1"/>
  <c r="AQ27" i="7"/>
  <c r="AS27" i="7" s="1"/>
  <c r="BJ26" i="7"/>
  <c r="BS26" i="7" s="1"/>
  <c r="BT26" i="7" s="1"/>
  <c r="BU26" i="7" s="1"/>
  <c r="T26" i="7"/>
  <c r="V26" i="7" s="1"/>
  <c r="Y26" i="7" s="1"/>
  <c r="AB26" i="7"/>
  <c r="AD26" i="7" s="1"/>
  <c r="AG26" i="7" s="1"/>
  <c r="AA24" i="7"/>
  <c r="AC24" i="7" s="1"/>
  <c r="S24" i="7"/>
  <c r="U24" i="7" s="1"/>
  <c r="BB26" i="7"/>
  <c r="BC26" i="7" s="1"/>
  <c r="BD26" i="7" s="1"/>
  <c r="BF26" i="7"/>
  <c r="BW92" i="7"/>
  <c r="BB25" i="7"/>
  <c r="BC25" i="7" s="1"/>
  <c r="BD25" i="7" s="1"/>
  <c r="BF25" i="7"/>
  <c r="AI25" i="7"/>
  <c r="AK25" i="7" s="1"/>
  <c r="AQ25" i="7"/>
  <c r="AS25" i="7" s="1"/>
  <c r="AQ24" i="7"/>
  <c r="AS24" i="7" s="1"/>
  <c r="AI24" i="7"/>
  <c r="AK24" i="7" s="1"/>
  <c r="BJ28" i="7"/>
  <c r="BS28" i="7" s="1"/>
  <c r="BT28" i="7" s="1"/>
  <c r="BU28" i="7" s="1"/>
  <c r="AB28" i="7"/>
  <c r="AD28" i="7" s="1"/>
  <c r="AG28" i="7" s="1"/>
  <c r="T28" i="7"/>
  <c r="V28" i="7" s="1"/>
  <c r="Y28" i="7" s="1"/>
  <c r="S22" i="7"/>
  <c r="U22" i="7" s="1"/>
  <c r="AA22" i="7"/>
  <c r="AC22" i="7" s="1"/>
  <c r="BJ23" i="7"/>
  <c r="BS23" i="7" s="1"/>
  <c r="BT23" i="7" s="1"/>
  <c r="BU23" i="7" s="1"/>
  <c r="AB23" i="7"/>
  <c r="AD23" i="7" s="1"/>
  <c r="AG23" i="7" s="1"/>
  <c r="T23" i="7"/>
  <c r="V23" i="7" s="1"/>
  <c r="Y23" i="7" s="1"/>
  <c r="AA9" i="7"/>
  <c r="AC9" i="7" s="1"/>
  <c r="AF9" i="7" s="1"/>
  <c r="BW89" i="7"/>
  <c r="BT89" i="7"/>
  <c r="BU89" i="7" s="1"/>
  <c r="BX89" i="7" s="1"/>
  <c r="BT95" i="7"/>
  <c r="BU95" i="7" s="1"/>
  <c r="BX95" i="7" s="1"/>
  <c r="BW95" i="7"/>
  <c r="BB28" i="7"/>
  <c r="BC28" i="7" s="1"/>
  <c r="BD28" i="7" s="1"/>
  <c r="BF28" i="7"/>
  <c r="BF24" i="7"/>
  <c r="BB24" i="7"/>
  <c r="BC24" i="7" s="1"/>
  <c r="BD24" i="7" s="1"/>
  <c r="BW91" i="7"/>
  <c r="BT91" i="7"/>
  <c r="BU91" i="7" s="1"/>
  <c r="BX91" i="7" s="1"/>
  <c r="AI22" i="7"/>
  <c r="AK22" i="7" s="1"/>
  <c r="AQ22" i="7"/>
  <c r="AS22" i="7" s="1"/>
  <c r="BJ25" i="7"/>
  <c r="BS25" i="7" s="1"/>
  <c r="BT25" i="7" s="1"/>
  <c r="BU25" i="7" s="1"/>
  <c r="AB25" i="7"/>
  <c r="AD25" i="7" s="1"/>
  <c r="AG25" i="7" s="1"/>
  <c r="T25" i="7"/>
  <c r="V25" i="7" s="1"/>
  <c r="Y25" i="7" s="1"/>
  <c r="AQ23" i="7"/>
  <c r="AS23" i="7" s="1"/>
  <c r="AI23" i="7"/>
  <c r="AK23" i="7" s="1"/>
  <c r="AA28" i="7"/>
  <c r="AC28" i="7" s="1"/>
  <c r="S28" i="7"/>
  <c r="U28" i="7" s="1"/>
  <c r="S23" i="7"/>
  <c r="U23" i="7" s="1"/>
  <c r="AA23" i="7"/>
  <c r="AC23" i="7" s="1"/>
  <c r="BT94" i="7"/>
  <c r="BU94" i="7" s="1"/>
  <c r="BX94" i="7" s="1"/>
  <c r="BW94" i="7"/>
  <c r="BB22" i="7"/>
  <c r="BC22" i="7" s="1"/>
  <c r="BD22" i="7" s="1"/>
  <c r="BF22" i="7"/>
  <c r="BF27" i="7"/>
  <c r="BB27" i="7"/>
  <c r="BC27" i="7" s="1"/>
  <c r="BD27" i="7" s="1"/>
  <c r="BW93" i="7"/>
  <c r="BT93" i="7"/>
  <c r="BU93" i="7" s="1"/>
  <c r="BX93" i="7" s="1"/>
  <c r="AQ28" i="7"/>
  <c r="AS28" i="7" s="1"/>
  <c r="AI28" i="7"/>
  <c r="AK28" i="7" s="1"/>
  <c r="AQ26" i="7"/>
  <c r="AS26" i="7" s="1"/>
  <c r="AI26" i="7"/>
  <c r="AK26" i="7" s="1"/>
  <c r="BJ27" i="7"/>
  <c r="BS27" i="7" s="1"/>
  <c r="BT27" i="7" s="1"/>
  <c r="BU27" i="7" s="1"/>
  <c r="T27" i="7"/>
  <c r="V27" i="7" s="1"/>
  <c r="Y27" i="7" s="1"/>
  <c r="AB27" i="7"/>
  <c r="AD27" i="7" s="1"/>
  <c r="AG27" i="7" s="1"/>
  <c r="S26" i="7"/>
  <c r="U26" i="7" s="1"/>
  <c r="AA26" i="7"/>
  <c r="AC26" i="7" s="1"/>
  <c r="AA25" i="7"/>
  <c r="AC25" i="7" s="1"/>
  <c r="S25" i="7"/>
  <c r="U25" i="7" s="1"/>
  <c r="BI109" i="7"/>
  <c r="BW103" i="7"/>
  <c r="BT103" i="7"/>
  <c r="BU103" i="7" s="1"/>
  <c r="BW96" i="7"/>
  <c r="BR109" i="7"/>
  <c r="BR110" i="7" s="1"/>
  <c r="BT96" i="7"/>
  <c r="BU96" i="7" s="1"/>
  <c r="BV96" i="7" s="1"/>
  <c r="BW100" i="7"/>
  <c r="BT100" i="7"/>
  <c r="BU100" i="7" s="1"/>
  <c r="BX100" i="7" s="1"/>
  <c r="BW99" i="7"/>
  <c r="BT99" i="7"/>
  <c r="BU99" i="7" s="1"/>
  <c r="BX99" i="7" s="1"/>
  <c r="BW107" i="7"/>
  <c r="BT107" i="7"/>
  <c r="BU107" i="7" s="1"/>
  <c r="BX107" i="7" s="1"/>
  <c r="BW98" i="7"/>
  <c r="BW104" i="7"/>
  <c r="BW102" i="7"/>
  <c r="BW108" i="7"/>
  <c r="BW106" i="7"/>
  <c r="BW97" i="7"/>
  <c r="BT97" i="7"/>
  <c r="BU97" i="7" s="1"/>
  <c r="BX97" i="7" s="1"/>
  <c r="BW105" i="7"/>
  <c r="BT105" i="7"/>
  <c r="BU105" i="7" s="1"/>
  <c r="BX105" i="7" s="1"/>
  <c r="BW101" i="7"/>
  <c r="BB14" i="7"/>
  <c r="BC14" i="7" s="1"/>
  <c r="BD14" i="7" s="1"/>
  <c r="BG14" i="7" s="1"/>
  <c r="BB16" i="7"/>
  <c r="BC16" i="7" s="1"/>
  <c r="BD16" i="7" s="1"/>
  <c r="BG16" i="7" s="1"/>
  <c r="BB18" i="7"/>
  <c r="BC18" i="7" s="1"/>
  <c r="BD18" i="7" s="1"/>
  <c r="BG18" i="7" s="1"/>
  <c r="AA10" i="7"/>
  <c r="AC10" i="7" s="1"/>
  <c r="AF10" i="7" s="1"/>
  <c r="BB13" i="7"/>
  <c r="BC13" i="7" s="1"/>
  <c r="BD13" i="7" s="1"/>
  <c r="BE13" i="7" s="1"/>
  <c r="BB17" i="7"/>
  <c r="BC17" i="7" s="1"/>
  <c r="BD17" i="7" s="1"/>
  <c r="BG17" i="7" s="1"/>
  <c r="BB11" i="7"/>
  <c r="BC11" i="7" s="1"/>
  <c r="BD11" i="7" s="1"/>
  <c r="BE11" i="7" s="1"/>
  <c r="BB19" i="7"/>
  <c r="BC19" i="7" s="1"/>
  <c r="BD19" i="7" s="1"/>
  <c r="BG19" i="7" s="1"/>
  <c r="BB12" i="7"/>
  <c r="BC12" i="7" s="1"/>
  <c r="BD12" i="7" s="1"/>
  <c r="BG12" i="7" s="1"/>
  <c r="BB10" i="7"/>
  <c r="BC10" i="7" s="1"/>
  <c r="BD10" i="7" s="1"/>
  <c r="BG10" i="7" s="1"/>
  <c r="AA14" i="7"/>
  <c r="AC14" i="7" s="1"/>
  <c r="AF14" i="7" s="1"/>
  <c r="BJ21" i="7"/>
  <c r="BS21" i="7" s="1"/>
  <c r="BT21" i="7" s="1"/>
  <c r="BU21" i="7" s="1"/>
  <c r="BJ15" i="7"/>
  <c r="BS15" i="7" s="1"/>
  <c r="BT15" i="7" s="1"/>
  <c r="BU15" i="7" s="1"/>
  <c r="BJ10" i="7"/>
  <c r="BS10" i="7" s="1"/>
  <c r="BT10" i="7" s="1"/>
  <c r="BU10" i="7" s="1"/>
  <c r="BJ17" i="7"/>
  <c r="BJ20" i="7"/>
  <c r="BS20" i="7" s="1"/>
  <c r="BT20" i="7" s="1"/>
  <c r="BU20" i="7" s="1"/>
  <c r="BJ12" i="7"/>
  <c r="BS12" i="7" s="1"/>
  <c r="BT12" i="7" s="1"/>
  <c r="BU12" i="7" s="1"/>
  <c r="BJ11" i="7"/>
  <c r="BJ13" i="7"/>
  <c r="BS13" i="7" s="1"/>
  <c r="BT13" i="7" s="1"/>
  <c r="BU13" i="7" s="1"/>
  <c r="BJ18" i="7"/>
  <c r="BS18" i="7" s="1"/>
  <c r="BT18" i="7" s="1"/>
  <c r="BU18" i="7" s="1"/>
  <c r="BJ16" i="7"/>
  <c r="BS16" i="7" s="1"/>
  <c r="BT16" i="7" s="1"/>
  <c r="BU16" i="7" s="1"/>
  <c r="BJ19" i="7"/>
  <c r="BJ14" i="7"/>
  <c r="BS14" i="7" s="1"/>
  <c r="BT14" i="7" s="1"/>
  <c r="BU14" i="7" s="1"/>
  <c r="BG20" i="7"/>
  <c r="BE20" i="7"/>
  <c r="BG15" i="7"/>
  <c r="BE15" i="7"/>
  <c r="BG21" i="7"/>
  <c r="BE21" i="7"/>
  <c r="BK87" i="7"/>
  <c r="BL87" i="7" s="1"/>
  <c r="BN87" i="7"/>
  <c r="BN104" i="7"/>
  <c r="BK83" i="7"/>
  <c r="BL83" i="7" s="1"/>
  <c r="BO83" i="7" s="1"/>
  <c r="BN83" i="7"/>
  <c r="BN81" i="7"/>
  <c r="BK81" i="7"/>
  <c r="BL81" i="7" s="1"/>
  <c r="BK74" i="7"/>
  <c r="BL74" i="7" s="1"/>
  <c r="BN74" i="7"/>
  <c r="BN62" i="7"/>
  <c r="BK72" i="7"/>
  <c r="BL72" i="7" s="1"/>
  <c r="BN72" i="7"/>
  <c r="BN48" i="7"/>
  <c r="BN84" i="7"/>
  <c r="BK84" i="7"/>
  <c r="BL84" i="7" s="1"/>
  <c r="BK106" i="7"/>
  <c r="BL106" i="7" s="1"/>
  <c r="BN106" i="7"/>
  <c r="BN47" i="7"/>
  <c r="BN58" i="7"/>
  <c r="BN97" i="7"/>
  <c r="BK59" i="7"/>
  <c r="BL59" i="7" s="1"/>
  <c r="BN59" i="7"/>
  <c r="BK78" i="7"/>
  <c r="BL78" i="7" s="1"/>
  <c r="BO78" i="7" s="1"/>
  <c r="BN78" i="7"/>
  <c r="BK100" i="7"/>
  <c r="BL100" i="7" s="1"/>
  <c r="BN100" i="7"/>
  <c r="BN93" i="7"/>
  <c r="BK93" i="7"/>
  <c r="BL93" i="7" s="1"/>
  <c r="BN53" i="7"/>
  <c r="BN108" i="7"/>
  <c r="BN103" i="7"/>
  <c r="BK103" i="7"/>
  <c r="BL103" i="7" s="1"/>
  <c r="BK89" i="7"/>
  <c r="BL89" i="7" s="1"/>
  <c r="BO89" i="7" s="1"/>
  <c r="BN89" i="7"/>
  <c r="BN46" i="7"/>
  <c r="BN56" i="7"/>
  <c r="BK56" i="7"/>
  <c r="BL56" i="7" s="1"/>
  <c r="BN82" i="7"/>
  <c r="BN17" i="7"/>
  <c r="BN98" i="7"/>
  <c r="BN54" i="7"/>
  <c r="BK54" i="7"/>
  <c r="BL54" i="7" s="1"/>
  <c r="BO54" i="7" s="1"/>
  <c r="BK63" i="7"/>
  <c r="BL63" i="7" s="1"/>
  <c r="BN63" i="7"/>
  <c r="BK85" i="7"/>
  <c r="BL85" i="7" s="1"/>
  <c r="BN85" i="7"/>
  <c r="BN94" i="7"/>
  <c r="BK94" i="7"/>
  <c r="BL94" i="7" s="1"/>
  <c r="BO94" i="7" s="1"/>
  <c r="BN95" i="7"/>
  <c r="BN36" i="7"/>
  <c r="BK57" i="7"/>
  <c r="BL57" i="7" s="1"/>
  <c r="BN57" i="7"/>
  <c r="BN77" i="7"/>
  <c r="BN42" i="7"/>
  <c r="BK42" i="7"/>
  <c r="BL42" i="7" s="1"/>
  <c r="BO42" i="7" s="1"/>
  <c r="BN102" i="7"/>
  <c r="BN88" i="7"/>
  <c r="BK88" i="7"/>
  <c r="BL88" i="7" s="1"/>
  <c r="BO88" i="7" s="1"/>
  <c r="BN49" i="7"/>
  <c r="BN41" i="7"/>
  <c r="BK70" i="7"/>
  <c r="BL70" i="7" s="1"/>
  <c r="BN70" i="7"/>
  <c r="BN34" i="7"/>
  <c r="BN61" i="7"/>
  <c r="BN105" i="7"/>
  <c r="BK105" i="7"/>
  <c r="BL105" i="7" s="1"/>
  <c r="BO105" i="7" s="1"/>
  <c r="BN65" i="7"/>
  <c r="BK65" i="7"/>
  <c r="BL65" i="7" s="1"/>
  <c r="BN19" i="7"/>
  <c r="BN79" i="7"/>
  <c r="BK79" i="7"/>
  <c r="BL79" i="7" s="1"/>
  <c r="BN51" i="7"/>
  <c r="BK51" i="7"/>
  <c r="BL51" i="7" s="1"/>
  <c r="BN69" i="7"/>
  <c r="BK69" i="7"/>
  <c r="BL69" i="7" s="1"/>
  <c r="BN101" i="7"/>
  <c r="BN71" i="7"/>
  <c r="BK71" i="7"/>
  <c r="BL71" i="7" s="1"/>
  <c r="BN92" i="7"/>
  <c r="BK92" i="7"/>
  <c r="BL92" i="7" s="1"/>
  <c r="BN86" i="7"/>
  <c r="BK86" i="7"/>
  <c r="BL86" i="7" s="1"/>
  <c r="BN60" i="7"/>
  <c r="BN11" i="7"/>
  <c r="BN45" i="7"/>
  <c r="BK45" i="7"/>
  <c r="BL45" i="7" s="1"/>
  <c r="BN91" i="7"/>
  <c r="BK91" i="7"/>
  <c r="BL91" i="7" s="1"/>
  <c r="BN67" i="7"/>
  <c r="BN40" i="7"/>
  <c r="BK40" i="7"/>
  <c r="BL40" i="7" s="1"/>
  <c r="BN73" i="7"/>
  <c r="BK73" i="7"/>
  <c r="BL73" i="7" s="1"/>
  <c r="BN68" i="7"/>
  <c r="BN76" i="7"/>
  <c r="BK55" i="7"/>
  <c r="BL55" i="7" s="1"/>
  <c r="BO55" i="7" s="1"/>
  <c r="BN55" i="7"/>
  <c r="BN90" i="7"/>
  <c r="BK90" i="7"/>
  <c r="BL90" i="7" s="1"/>
  <c r="BN16" i="7"/>
  <c r="BK52" i="7"/>
  <c r="BL52" i="7" s="1"/>
  <c r="BN52" i="7"/>
  <c r="BN44" i="7"/>
  <c r="BK44" i="7"/>
  <c r="BL44" i="7" s="1"/>
  <c r="BO44" i="7" s="1"/>
  <c r="BB9" i="7"/>
  <c r="BC9" i="7" s="1"/>
  <c r="BD9" i="7" s="1"/>
  <c r="BF9" i="7"/>
  <c r="BN64" i="7"/>
  <c r="BK64" i="7"/>
  <c r="BL64" i="7" s="1"/>
  <c r="BN99" i="7"/>
  <c r="BK99" i="7"/>
  <c r="BL99" i="7" s="1"/>
  <c r="BO99" i="7" s="1"/>
  <c r="BN39" i="7"/>
  <c r="BN107" i="7"/>
  <c r="BK107" i="7"/>
  <c r="BL107" i="7" s="1"/>
  <c r="BO107" i="7" s="1"/>
  <c r="BN80" i="7"/>
  <c r="BK80" i="7"/>
  <c r="BL80" i="7" s="1"/>
  <c r="BN28" i="7"/>
  <c r="BN75" i="7"/>
  <c r="BK75" i="7"/>
  <c r="BL75" i="7" s="1"/>
  <c r="BN50" i="7"/>
  <c r="BN66" i="7"/>
  <c r="BK66" i="7"/>
  <c r="BL66" i="7" s="1"/>
  <c r="BN43" i="7"/>
  <c r="AA20" i="7"/>
  <c r="AC20" i="7" s="1"/>
  <c r="AF20" i="7" s="1"/>
  <c r="AA21" i="7"/>
  <c r="AC21" i="7" s="1"/>
  <c r="AF21" i="7" s="1"/>
  <c r="AQ21" i="7"/>
  <c r="AS21" i="7" s="1"/>
  <c r="AI21" i="7"/>
  <c r="AK21" i="7" s="1"/>
  <c r="T21" i="7"/>
  <c r="V21" i="7" s="1"/>
  <c r="Y21" i="7" s="1"/>
  <c r="AB21" i="7"/>
  <c r="AD21" i="7" s="1"/>
  <c r="AG21" i="7" s="1"/>
  <c r="X21" i="7"/>
  <c r="AQ20" i="7"/>
  <c r="AS20" i="7" s="1"/>
  <c r="AI20" i="7"/>
  <c r="AK20" i="7" s="1"/>
  <c r="T20" i="7"/>
  <c r="V20" i="7" s="1"/>
  <c r="Y20" i="7" s="1"/>
  <c r="AB20" i="7"/>
  <c r="AD20" i="7" s="1"/>
  <c r="AG20" i="7" s="1"/>
  <c r="X20" i="7"/>
  <c r="S19" i="7"/>
  <c r="U19" i="7" s="1"/>
  <c r="X19" i="7" s="1"/>
  <c r="AA19" i="7"/>
  <c r="AC19" i="7" s="1"/>
  <c r="AF19" i="7" s="1"/>
  <c r="AA11" i="7"/>
  <c r="AC11" i="7" s="1"/>
  <c r="AF11" i="7" s="1"/>
  <c r="S11" i="7"/>
  <c r="U11" i="7" s="1"/>
  <c r="X11" i="7" s="1"/>
  <c r="AA17" i="7"/>
  <c r="AC17" i="7" s="1"/>
  <c r="AF17" i="7" s="1"/>
  <c r="S17" i="7"/>
  <c r="U17" i="7" s="1"/>
  <c r="X17" i="7" s="1"/>
  <c r="S16" i="7"/>
  <c r="U16" i="7" s="1"/>
  <c r="X16" i="7" s="1"/>
  <c r="AA16" i="7"/>
  <c r="AC16" i="7" s="1"/>
  <c r="AF16" i="7" s="1"/>
  <c r="X9" i="7"/>
  <c r="AB11" i="7"/>
  <c r="AD11" i="7" s="1"/>
  <c r="T11" i="7"/>
  <c r="V11" i="7" s="1"/>
  <c r="AB19" i="7"/>
  <c r="AD19" i="7" s="1"/>
  <c r="T19" i="7"/>
  <c r="V19" i="7" s="1"/>
  <c r="AB14" i="7"/>
  <c r="AD14" i="7" s="1"/>
  <c r="T14" i="7"/>
  <c r="V14" i="7" s="1"/>
  <c r="AB16" i="7"/>
  <c r="AD16" i="7" s="1"/>
  <c r="T16" i="7"/>
  <c r="V16" i="7" s="1"/>
  <c r="AB12" i="7"/>
  <c r="AD12" i="7" s="1"/>
  <c r="T12" i="7"/>
  <c r="V12" i="7" s="1"/>
  <c r="AB10" i="7"/>
  <c r="AD10" i="7" s="1"/>
  <c r="T10" i="7"/>
  <c r="V10" i="7" s="1"/>
  <c r="AB18" i="7"/>
  <c r="AD18" i="7" s="1"/>
  <c r="T18" i="7"/>
  <c r="V18" i="7" s="1"/>
  <c r="T13" i="7"/>
  <c r="V13" i="7" s="1"/>
  <c r="AB13" i="7"/>
  <c r="AD13" i="7" s="1"/>
  <c r="AB15" i="7"/>
  <c r="AD15" i="7" s="1"/>
  <c r="T15" i="7"/>
  <c r="V15" i="7" s="1"/>
  <c r="T9" i="7"/>
  <c r="AB9" i="7"/>
  <c r="T17" i="7"/>
  <c r="V17" i="7" s="1"/>
  <c r="AB17" i="7"/>
  <c r="AD17" i="7" s="1"/>
  <c r="AL9" i="7"/>
  <c r="AO9" i="7" s="1"/>
  <c r="AJ14" i="7"/>
  <c r="AL14" i="7" s="1"/>
  <c r="AO14" i="7" s="1"/>
  <c r="AT14" i="7"/>
  <c r="AW14" i="7" s="1"/>
  <c r="AJ12" i="7"/>
  <c r="AL12" i="7" s="1"/>
  <c r="AO12" i="7" s="1"/>
  <c r="AT12" i="7"/>
  <c r="AW12" i="7" s="1"/>
  <c r="AJ15" i="7"/>
  <c r="AL15" i="7" s="1"/>
  <c r="AO15" i="7" s="1"/>
  <c r="AT15" i="7"/>
  <c r="AW15" i="7" s="1"/>
  <c r="AJ10" i="7"/>
  <c r="AL10" i="7" s="1"/>
  <c r="AO10" i="7" s="1"/>
  <c r="AT10" i="7"/>
  <c r="AW10" i="7" s="1"/>
  <c r="AJ11" i="7"/>
  <c r="AL11" i="7" s="1"/>
  <c r="AO11" i="7" s="1"/>
  <c r="AT11" i="7"/>
  <c r="AW11" i="7" s="1"/>
  <c r="AJ13" i="7"/>
  <c r="AT13" i="7"/>
  <c r="AW13" i="7" s="1"/>
  <c r="AJ18" i="7"/>
  <c r="AL18" i="7" s="1"/>
  <c r="AO18" i="7" s="1"/>
  <c r="AT18" i="7"/>
  <c r="AW18" i="7" s="1"/>
  <c r="AJ19" i="7"/>
  <c r="AL19" i="7" s="1"/>
  <c r="AO19" i="7" s="1"/>
  <c r="AT19" i="7"/>
  <c r="AW19" i="7" s="1"/>
  <c r="AJ17" i="7"/>
  <c r="AL17" i="7" s="1"/>
  <c r="AO17" i="7" s="1"/>
  <c r="AT17" i="7"/>
  <c r="AW17" i="7" s="1"/>
  <c r="AQ13" i="7"/>
  <c r="AS13" i="7" s="1"/>
  <c r="AV13" i="7" s="1"/>
  <c r="AI13" i="7"/>
  <c r="AK13" i="7" s="1"/>
  <c r="AN13" i="7" s="1"/>
  <c r="AQ11" i="7"/>
  <c r="AS11" i="7" s="1"/>
  <c r="AV11" i="7" s="1"/>
  <c r="AI11" i="7"/>
  <c r="AK11" i="7" s="1"/>
  <c r="AN11" i="7" s="1"/>
  <c r="AI10" i="7"/>
  <c r="AK10" i="7" s="1"/>
  <c r="AQ10" i="7"/>
  <c r="AS10" i="7" s="1"/>
  <c r="AI19" i="7"/>
  <c r="AK19" i="7" s="1"/>
  <c r="AQ19" i="7"/>
  <c r="AS19" i="7" s="1"/>
  <c r="AV19" i="7" s="1"/>
  <c r="AI16" i="7"/>
  <c r="AK16" i="7" s="1"/>
  <c r="AN16" i="7" s="1"/>
  <c r="AQ16" i="7"/>
  <c r="AS16" i="7" s="1"/>
  <c r="AQ17" i="7"/>
  <c r="AS17" i="7" s="1"/>
  <c r="AI17" i="7"/>
  <c r="AK17" i="7" s="1"/>
  <c r="AN17" i="7" s="1"/>
  <c r="AI12" i="7"/>
  <c r="AK12" i="7" s="1"/>
  <c r="AQ12" i="7"/>
  <c r="AS12" i="7" s="1"/>
  <c r="AV12" i="7" s="1"/>
  <c r="AQ15" i="7"/>
  <c r="AS15" i="7" s="1"/>
  <c r="AI15" i="7"/>
  <c r="AK15" i="7" s="1"/>
  <c r="AI18" i="7"/>
  <c r="AK18" i="7" s="1"/>
  <c r="AQ18" i="7"/>
  <c r="AS18" i="7" s="1"/>
  <c r="AI14" i="7"/>
  <c r="AK14" i="7" s="1"/>
  <c r="AN14" i="7" s="1"/>
  <c r="AQ14" i="7"/>
  <c r="AS14" i="7" s="1"/>
  <c r="AV14" i="7" s="1"/>
  <c r="AQ9" i="7"/>
  <c r="AS9" i="7" s="1"/>
  <c r="AV9" i="7" s="1"/>
  <c r="AI9" i="7"/>
  <c r="AK9" i="7" s="1"/>
  <c r="AN9" i="7" s="1"/>
  <c r="AT9" i="7"/>
  <c r="BK39" i="7" l="1"/>
  <c r="BL39" i="7" s="1"/>
  <c r="BK58" i="7"/>
  <c r="BL58" i="7" s="1"/>
  <c r="BK50" i="7"/>
  <c r="BL50" i="7" s="1"/>
  <c r="BO50" i="7" s="1"/>
  <c r="BK95" i="7"/>
  <c r="BL95" i="7" s="1"/>
  <c r="BO95" i="7" s="1"/>
  <c r="BK34" i="7"/>
  <c r="BL34" i="7" s="1"/>
  <c r="BO34" i="7" s="1"/>
  <c r="BK62" i="7"/>
  <c r="BL62" i="7" s="1"/>
  <c r="BM62" i="7" s="1"/>
  <c r="BK104" i="7"/>
  <c r="BL104" i="7" s="1"/>
  <c r="BV83" i="7"/>
  <c r="BK16" i="7"/>
  <c r="BL16" i="7" s="1"/>
  <c r="BX87" i="7"/>
  <c r="BV87" i="7"/>
  <c r="BG89" i="7"/>
  <c r="BE89" i="7"/>
  <c r="BK102" i="7"/>
  <c r="BL102" i="7" s="1"/>
  <c r="BO102" i="7" s="1"/>
  <c r="BK46" i="7"/>
  <c r="BL46" i="7" s="1"/>
  <c r="BO46" i="7" s="1"/>
  <c r="BX16" i="7"/>
  <c r="BV16" i="7"/>
  <c r="BX15" i="7"/>
  <c r="BV15" i="7"/>
  <c r="AE90" i="7"/>
  <c r="AF90" i="7"/>
  <c r="X108" i="7"/>
  <c r="W108" i="7"/>
  <c r="W98" i="7"/>
  <c r="X98" i="7"/>
  <c r="AF95" i="7"/>
  <c r="AE95" i="7"/>
  <c r="AF89" i="7"/>
  <c r="AE89" i="7"/>
  <c r="BG104" i="7"/>
  <c r="BE104" i="7"/>
  <c r="BG95" i="7"/>
  <c r="BE95" i="7"/>
  <c r="BK60" i="7"/>
  <c r="BL60" i="7" s="1"/>
  <c r="BK48" i="7"/>
  <c r="BL48" i="7" s="1"/>
  <c r="BO48" i="7" s="1"/>
  <c r="BX18" i="7"/>
  <c r="BV18" i="7"/>
  <c r="BX21" i="7"/>
  <c r="BV21" i="7"/>
  <c r="BV56" i="7"/>
  <c r="W90" i="7"/>
  <c r="X90" i="7"/>
  <c r="X97" i="7"/>
  <c r="W97" i="7"/>
  <c r="X93" i="7"/>
  <c r="W93" i="7"/>
  <c r="W100" i="7"/>
  <c r="X100" i="7"/>
  <c r="AE92" i="7"/>
  <c r="AF92" i="7"/>
  <c r="BX10" i="7"/>
  <c r="BV10" i="7"/>
  <c r="BX13" i="7"/>
  <c r="BV13" i="7"/>
  <c r="BX25" i="7"/>
  <c r="BV25" i="7"/>
  <c r="BX23" i="7"/>
  <c r="BV23" i="7"/>
  <c r="BG90" i="7"/>
  <c r="BE90" i="7"/>
  <c r="BG106" i="7"/>
  <c r="BE106" i="7"/>
  <c r="AF104" i="7"/>
  <c r="AE104" i="7"/>
  <c r="BG92" i="7"/>
  <c r="BE92" i="7"/>
  <c r="BG108" i="7"/>
  <c r="BE108" i="7"/>
  <c r="BV9" i="7"/>
  <c r="AF97" i="7"/>
  <c r="AE97" i="7"/>
  <c r="AF93" i="7"/>
  <c r="AE93" i="7"/>
  <c r="AF100" i="7"/>
  <c r="AE100" i="7"/>
  <c r="X92" i="7"/>
  <c r="W92" i="7"/>
  <c r="BX28" i="7"/>
  <c r="BV28" i="7"/>
  <c r="AF108" i="7"/>
  <c r="AE108" i="7"/>
  <c r="BG93" i="7"/>
  <c r="BE93" i="7"/>
  <c r="BK11" i="7"/>
  <c r="BL11" i="7" s="1"/>
  <c r="BM11" i="7" s="1"/>
  <c r="BS11" i="7"/>
  <c r="BT11" i="7" s="1"/>
  <c r="BU11" i="7" s="1"/>
  <c r="X104" i="7"/>
  <c r="W104" i="7"/>
  <c r="X101" i="7"/>
  <c r="W101" i="7"/>
  <c r="AE105" i="7"/>
  <c r="AF105" i="7"/>
  <c r="AF103" i="7"/>
  <c r="AE103" i="7"/>
  <c r="AE94" i="7"/>
  <c r="AF94" i="7"/>
  <c r="BK19" i="7"/>
  <c r="BL19" i="7" s="1"/>
  <c r="BO19" i="7" s="1"/>
  <c r="BS19" i="7"/>
  <c r="BT19" i="7" s="1"/>
  <c r="BU19" i="7" s="1"/>
  <c r="BG99" i="7"/>
  <c r="BE99" i="7"/>
  <c r="X95" i="7"/>
  <c r="W95" i="7"/>
  <c r="BK98" i="7"/>
  <c r="BL98" i="7" s="1"/>
  <c r="BO98" i="7" s="1"/>
  <c r="BX12" i="7"/>
  <c r="BV12" i="7"/>
  <c r="BX24" i="7"/>
  <c r="BV24" i="7"/>
  <c r="BX22" i="7"/>
  <c r="BV22" i="7"/>
  <c r="BV72" i="7"/>
  <c r="AE106" i="7"/>
  <c r="AF106" i="7"/>
  <c r="AE101" i="7"/>
  <c r="AF101" i="7"/>
  <c r="W105" i="7"/>
  <c r="X105" i="7"/>
  <c r="X103" i="7"/>
  <c r="W103" i="7"/>
  <c r="X94" i="7"/>
  <c r="W94" i="7"/>
  <c r="W96" i="7"/>
  <c r="X96" i="7"/>
  <c r="AE98" i="7"/>
  <c r="AF98" i="7"/>
  <c r="BK76" i="7"/>
  <c r="BL76" i="7" s="1"/>
  <c r="BO76" i="7" s="1"/>
  <c r="BX20" i="7"/>
  <c r="BV20" i="7"/>
  <c r="BX27" i="7"/>
  <c r="BV27" i="7"/>
  <c r="BX26" i="7"/>
  <c r="BV26" i="7"/>
  <c r="W106" i="7"/>
  <c r="X106" i="7"/>
  <c r="W99" i="7"/>
  <c r="X99" i="7"/>
  <c r="AF107" i="7"/>
  <c r="AE107" i="7"/>
  <c r="AF91" i="7"/>
  <c r="AE91" i="7"/>
  <c r="W102" i="7"/>
  <c r="X102" i="7"/>
  <c r="X89" i="7"/>
  <c r="W89" i="7"/>
  <c r="BK28" i="7"/>
  <c r="BL28" i="7" s="1"/>
  <c r="BO28" i="7" s="1"/>
  <c r="BK61" i="7"/>
  <c r="BL61" i="7" s="1"/>
  <c r="BO61" i="7" s="1"/>
  <c r="BK108" i="7"/>
  <c r="BL108" i="7" s="1"/>
  <c r="BX14" i="7"/>
  <c r="BV14" i="7"/>
  <c r="BK17" i="7"/>
  <c r="BL17" i="7" s="1"/>
  <c r="BO17" i="7" s="1"/>
  <c r="BS17" i="7"/>
  <c r="BT17" i="7" s="1"/>
  <c r="BU17" i="7" s="1"/>
  <c r="AF99" i="7"/>
  <c r="AE99" i="7"/>
  <c r="BG101" i="7"/>
  <c r="BE101" i="7"/>
  <c r="AE96" i="7"/>
  <c r="AF96" i="7"/>
  <c r="X107" i="7"/>
  <c r="W107" i="7"/>
  <c r="X91" i="7"/>
  <c r="W91" i="7"/>
  <c r="AE102" i="7"/>
  <c r="AF102" i="7"/>
  <c r="AE76" i="7"/>
  <c r="AF76" i="7"/>
  <c r="BK36" i="7"/>
  <c r="BL36" i="7" s="1"/>
  <c r="BO36" i="7" s="1"/>
  <c r="BS36" i="7"/>
  <c r="BT36" i="7" s="1"/>
  <c r="BU36" i="7" s="1"/>
  <c r="BX31" i="7"/>
  <c r="BV31" i="7"/>
  <c r="X85" i="7"/>
  <c r="W85" i="7"/>
  <c r="AF86" i="7"/>
  <c r="AE86" i="7"/>
  <c r="AE84" i="7"/>
  <c r="AF84" i="7"/>
  <c r="BG69" i="7"/>
  <c r="BE69" i="7"/>
  <c r="AE77" i="7"/>
  <c r="AF77" i="7"/>
  <c r="AF78" i="7"/>
  <c r="AE78" i="7"/>
  <c r="AF82" i="7"/>
  <c r="AE82" i="7"/>
  <c r="BX35" i="7"/>
  <c r="BV35" i="7"/>
  <c r="BK77" i="7"/>
  <c r="BL77" i="7" s="1"/>
  <c r="BO77" i="7" s="1"/>
  <c r="BX44" i="7"/>
  <c r="BV44" i="7"/>
  <c r="BV49" i="7"/>
  <c r="BG75" i="7"/>
  <c r="BE75" i="7"/>
  <c r="AF85" i="7"/>
  <c r="AE85" i="7"/>
  <c r="W86" i="7"/>
  <c r="X86" i="7"/>
  <c r="X76" i="7"/>
  <c r="W76" i="7"/>
  <c r="AE79" i="7"/>
  <c r="AF79" i="7"/>
  <c r="BG71" i="7"/>
  <c r="BE71" i="7"/>
  <c r="BK82" i="7"/>
  <c r="BL82" i="7" s="1"/>
  <c r="BM82" i="7" s="1"/>
  <c r="BK47" i="7"/>
  <c r="BL47" i="7" s="1"/>
  <c r="BV88" i="7"/>
  <c r="BG73" i="7"/>
  <c r="BE73" i="7"/>
  <c r="BG88" i="7"/>
  <c r="BE88" i="7"/>
  <c r="AE70" i="7"/>
  <c r="AF70" i="7"/>
  <c r="W88" i="7"/>
  <c r="X88" i="7"/>
  <c r="AF71" i="7"/>
  <c r="AE71" i="7"/>
  <c r="BX37" i="7"/>
  <c r="BV37" i="7"/>
  <c r="BG87" i="7"/>
  <c r="BE87" i="7"/>
  <c r="BX42" i="7"/>
  <c r="BV42" i="7"/>
  <c r="BX34" i="7"/>
  <c r="BV34" i="7"/>
  <c r="BK43" i="7"/>
  <c r="BL43" i="7" s="1"/>
  <c r="BO43" i="7" s="1"/>
  <c r="BS43" i="7"/>
  <c r="BT43" i="7" s="1"/>
  <c r="BU43" i="7" s="1"/>
  <c r="BX33" i="7"/>
  <c r="BV33" i="7"/>
  <c r="X80" i="7"/>
  <c r="W80" i="7"/>
  <c r="BG72" i="7"/>
  <c r="BE72" i="7"/>
  <c r="W70" i="7"/>
  <c r="X70" i="7"/>
  <c r="AF81" i="7"/>
  <c r="AE81" i="7"/>
  <c r="AE88" i="7"/>
  <c r="AF88" i="7"/>
  <c r="X71" i="7"/>
  <c r="W71" i="7"/>
  <c r="BG80" i="7"/>
  <c r="BE80" i="7"/>
  <c r="BX48" i="7"/>
  <c r="BV48" i="7"/>
  <c r="BG86" i="7"/>
  <c r="BE86" i="7"/>
  <c r="BX29" i="7"/>
  <c r="BV29" i="7"/>
  <c r="BX30" i="7"/>
  <c r="BV30" i="7"/>
  <c r="BX32" i="7"/>
  <c r="BV32" i="7"/>
  <c r="BX45" i="7"/>
  <c r="BV45" i="7"/>
  <c r="BV64" i="7"/>
  <c r="AE80" i="7"/>
  <c r="AF80" i="7"/>
  <c r="BG76" i="7"/>
  <c r="BE76" i="7"/>
  <c r="X69" i="7"/>
  <c r="W69" i="7"/>
  <c r="W81" i="7"/>
  <c r="X81" i="7"/>
  <c r="AF73" i="7"/>
  <c r="AE73" i="7"/>
  <c r="X75" i="7"/>
  <c r="W75" i="7"/>
  <c r="W74" i="7"/>
  <c r="X74" i="7"/>
  <c r="X72" i="7"/>
  <c r="W72" i="7"/>
  <c r="BX47" i="7"/>
  <c r="BV47" i="7"/>
  <c r="BK101" i="7"/>
  <c r="BL101" i="7" s="1"/>
  <c r="BM101" i="7" s="1"/>
  <c r="BV86" i="7"/>
  <c r="X87" i="7"/>
  <c r="W87" i="7"/>
  <c r="AF69" i="7"/>
  <c r="AE69" i="7"/>
  <c r="AE83" i="7"/>
  <c r="AF83" i="7"/>
  <c r="X73" i="7"/>
  <c r="W73" i="7"/>
  <c r="AF75" i="7"/>
  <c r="AE75" i="7"/>
  <c r="AE74" i="7"/>
  <c r="AF74" i="7"/>
  <c r="AF72" i="7"/>
  <c r="AE72" i="7"/>
  <c r="W79" i="7"/>
  <c r="X79" i="7"/>
  <c r="BX46" i="7"/>
  <c r="BV46" i="7"/>
  <c r="BX38" i="7"/>
  <c r="BV38" i="7"/>
  <c r="BV70" i="7"/>
  <c r="BX40" i="7"/>
  <c r="BV40" i="7"/>
  <c r="BK41" i="7"/>
  <c r="BL41" i="7" s="1"/>
  <c r="BO41" i="7" s="1"/>
  <c r="BS41" i="7"/>
  <c r="BT41" i="7" s="1"/>
  <c r="BU41" i="7" s="1"/>
  <c r="BX39" i="7"/>
  <c r="BV39" i="7"/>
  <c r="AE87" i="7"/>
  <c r="AF87" i="7"/>
  <c r="W84" i="7"/>
  <c r="X84" i="7"/>
  <c r="X83" i="7"/>
  <c r="W83" i="7"/>
  <c r="W77" i="7"/>
  <c r="X77" i="7"/>
  <c r="W78" i="7"/>
  <c r="X78" i="7"/>
  <c r="X82" i="7"/>
  <c r="W82" i="7"/>
  <c r="BG50" i="7"/>
  <c r="BE50" i="7"/>
  <c r="BG39" i="7"/>
  <c r="BE39" i="7"/>
  <c r="BG62" i="7"/>
  <c r="BE62" i="7"/>
  <c r="BG59" i="7"/>
  <c r="BE59" i="7"/>
  <c r="BX50" i="7"/>
  <c r="BV50" i="7"/>
  <c r="BX59" i="7"/>
  <c r="BV59" i="7"/>
  <c r="BG60" i="7"/>
  <c r="BE60" i="7"/>
  <c r="BX51" i="7"/>
  <c r="BV51" i="7"/>
  <c r="BG58" i="7"/>
  <c r="BE58" i="7"/>
  <c r="BG63" i="7"/>
  <c r="BE63" i="7"/>
  <c r="BG64" i="7"/>
  <c r="BE64" i="7"/>
  <c r="BX68" i="7"/>
  <c r="BV68" i="7"/>
  <c r="BG52" i="7"/>
  <c r="BE52" i="7"/>
  <c r="BG55" i="7"/>
  <c r="BE55" i="7"/>
  <c r="BX55" i="7"/>
  <c r="BV55" i="7"/>
  <c r="BG51" i="7"/>
  <c r="BE51" i="7"/>
  <c r="BG65" i="7"/>
  <c r="BE65" i="7"/>
  <c r="BG68" i="7"/>
  <c r="BE68" i="7"/>
  <c r="BG67" i="7"/>
  <c r="BE67" i="7"/>
  <c r="BG56" i="7"/>
  <c r="BE56" i="7"/>
  <c r="BX58" i="7"/>
  <c r="BV58" i="7"/>
  <c r="BX62" i="7"/>
  <c r="BV62" i="7"/>
  <c r="BX60" i="7"/>
  <c r="BV60" i="7"/>
  <c r="BX54" i="7"/>
  <c r="BV54" i="7"/>
  <c r="BG34" i="7"/>
  <c r="BE34" i="7"/>
  <c r="BG57" i="7"/>
  <c r="BE57" i="7"/>
  <c r="BG53" i="7"/>
  <c r="BE53" i="7"/>
  <c r="BX63" i="7"/>
  <c r="BV63" i="7"/>
  <c r="BG54" i="7"/>
  <c r="BE54" i="7"/>
  <c r="X50" i="7"/>
  <c r="W50" i="7"/>
  <c r="BK67" i="7"/>
  <c r="BL67" i="7" s="1"/>
  <c r="BO67" i="7" s="1"/>
  <c r="X56" i="7"/>
  <c r="W56" i="7"/>
  <c r="AE54" i="7"/>
  <c r="AF54" i="7"/>
  <c r="X63" i="7"/>
  <c r="W63" i="7"/>
  <c r="BV69" i="7"/>
  <c r="AE66" i="7"/>
  <c r="AF66" i="7"/>
  <c r="BE49" i="7"/>
  <c r="AF62" i="7"/>
  <c r="AE62" i="7"/>
  <c r="W61" i="7"/>
  <c r="X61" i="7"/>
  <c r="AF56" i="7"/>
  <c r="AE56" i="7"/>
  <c r="X54" i="7"/>
  <c r="W54" i="7"/>
  <c r="AF60" i="7"/>
  <c r="AE60" i="7"/>
  <c r="W66" i="7"/>
  <c r="X66" i="7"/>
  <c r="AE50" i="7"/>
  <c r="AF50" i="7"/>
  <c r="BK53" i="7"/>
  <c r="BL53" i="7" s="1"/>
  <c r="BM53" i="7" s="1"/>
  <c r="BV93" i="7"/>
  <c r="BV92" i="7"/>
  <c r="AF68" i="7"/>
  <c r="AE68" i="7"/>
  <c r="BV53" i="7"/>
  <c r="BV65" i="7"/>
  <c r="BV52" i="7"/>
  <c r="W58" i="7"/>
  <c r="X58" i="7"/>
  <c r="AE64" i="7"/>
  <c r="AF64" i="7"/>
  <c r="X62" i="7"/>
  <c r="W62" i="7"/>
  <c r="AF61" i="7"/>
  <c r="AE61" i="7"/>
  <c r="AF59" i="7"/>
  <c r="AE59" i="7"/>
  <c r="AF55" i="7"/>
  <c r="AE55" i="7"/>
  <c r="X60" i="7"/>
  <c r="W60" i="7"/>
  <c r="X68" i="7"/>
  <c r="W68" i="7"/>
  <c r="AF58" i="7"/>
  <c r="AE58" i="7"/>
  <c r="X65" i="7"/>
  <c r="W65" i="7"/>
  <c r="X55" i="7"/>
  <c r="W55" i="7"/>
  <c r="AF57" i="7"/>
  <c r="AE57" i="7"/>
  <c r="BK49" i="7"/>
  <c r="BL49" i="7" s="1"/>
  <c r="BM49" i="7" s="1"/>
  <c r="BK97" i="7"/>
  <c r="BL97" i="7" s="1"/>
  <c r="BO97" i="7" s="1"/>
  <c r="BV79" i="7"/>
  <c r="BV85" i="7"/>
  <c r="BV74" i="7"/>
  <c r="W53" i="7"/>
  <c r="X53" i="7"/>
  <c r="AF65" i="7"/>
  <c r="AE65" i="7"/>
  <c r="AE49" i="7"/>
  <c r="AF49" i="7"/>
  <c r="X57" i="7"/>
  <c r="W57" i="7"/>
  <c r="W67" i="7"/>
  <c r="X67" i="7"/>
  <c r="AF52" i="7"/>
  <c r="AE52" i="7"/>
  <c r="AF53" i="7"/>
  <c r="AE53" i="7"/>
  <c r="X51" i="7"/>
  <c r="W51" i="7"/>
  <c r="W49" i="7"/>
  <c r="X49" i="7"/>
  <c r="BE66" i="7"/>
  <c r="AF63" i="7"/>
  <c r="AE63" i="7"/>
  <c r="BK68" i="7"/>
  <c r="BL68" i="7" s="1"/>
  <c r="BO68" i="7" s="1"/>
  <c r="X64" i="7"/>
  <c r="W64" i="7"/>
  <c r="W59" i="7"/>
  <c r="X59" i="7"/>
  <c r="BV75" i="7"/>
  <c r="BV82" i="7"/>
  <c r="BV81" i="7"/>
  <c r="BV67" i="7"/>
  <c r="AE67" i="7"/>
  <c r="AF67" i="7"/>
  <c r="BE61" i="7"/>
  <c r="X52" i="7"/>
  <c r="W52" i="7"/>
  <c r="AF51" i="7"/>
  <c r="AE51" i="7"/>
  <c r="BV61" i="7"/>
  <c r="BV57" i="7"/>
  <c r="BV66" i="7"/>
  <c r="BG33" i="7"/>
  <c r="BE33" i="7"/>
  <c r="BG32" i="7"/>
  <c r="BE32" i="7"/>
  <c r="BG35" i="7"/>
  <c r="BE35" i="7"/>
  <c r="BG47" i="7"/>
  <c r="BE47" i="7"/>
  <c r="BG40" i="7"/>
  <c r="BE40" i="7"/>
  <c r="BG45" i="7"/>
  <c r="BE45" i="7"/>
  <c r="BG29" i="7"/>
  <c r="BE29" i="7"/>
  <c r="BG42" i="7"/>
  <c r="BE42" i="7"/>
  <c r="BG31" i="7"/>
  <c r="BE31" i="7"/>
  <c r="BG38" i="7"/>
  <c r="BE38" i="7"/>
  <c r="BG46" i="7"/>
  <c r="BE46" i="7"/>
  <c r="BG41" i="7"/>
  <c r="BE41" i="7"/>
  <c r="BG44" i="7"/>
  <c r="BE44" i="7"/>
  <c r="BG43" i="7"/>
  <c r="BE43" i="7"/>
  <c r="BG48" i="7"/>
  <c r="BE48" i="7"/>
  <c r="BG36" i="7"/>
  <c r="BE36" i="7"/>
  <c r="BX76" i="7"/>
  <c r="BV76" i="7"/>
  <c r="BG37" i="7"/>
  <c r="BE37" i="7"/>
  <c r="AE42" i="7"/>
  <c r="AF42" i="7"/>
  <c r="X37" i="7"/>
  <c r="W37" i="7"/>
  <c r="AE32" i="7"/>
  <c r="AF32" i="7"/>
  <c r="AE29" i="7"/>
  <c r="AF29" i="7"/>
  <c r="AV32" i="7"/>
  <c r="AU32" i="7"/>
  <c r="AF43" i="7"/>
  <c r="AE43" i="7"/>
  <c r="W33" i="7"/>
  <c r="X33" i="7"/>
  <c r="AU33" i="7"/>
  <c r="AV33" i="7"/>
  <c r="W29" i="7"/>
  <c r="X29" i="7"/>
  <c r="AM33" i="7"/>
  <c r="AN33" i="7"/>
  <c r="BV94" i="7"/>
  <c r="BV73" i="7"/>
  <c r="AE37" i="7"/>
  <c r="AF37" i="7"/>
  <c r="X32" i="7"/>
  <c r="W32" i="7"/>
  <c r="AN36" i="7"/>
  <c r="AM36" i="7"/>
  <c r="AM32" i="7"/>
  <c r="AN32" i="7"/>
  <c r="AE33" i="7"/>
  <c r="AF33" i="7"/>
  <c r="W46" i="7"/>
  <c r="X46" i="7"/>
  <c r="AV35" i="7"/>
  <c r="AU35" i="7"/>
  <c r="W35" i="7"/>
  <c r="X35" i="7"/>
  <c r="AV31" i="7"/>
  <c r="AU31" i="7"/>
  <c r="W31" i="7"/>
  <c r="X31" i="7"/>
  <c r="AV36" i="7"/>
  <c r="AU36" i="7"/>
  <c r="AV30" i="7"/>
  <c r="AU30" i="7"/>
  <c r="AE30" i="7"/>
  <c r="AF30" i="7"/>
  <c r="AE46" i="7"/>
  <c r="AF46" i="7"/>
  <c r="AN35" i="7"/>
  <c r="AM35" i="7"/>
  <c r="BV71" i="7"/>
  <c r="BE30" i="7"/>
  <c r="AF35" i="7"/>
  <c r="AE35" i="7"/>
  <c r="AN31" i="7"/>
  <c r="AM31" i="7"/>
  <c r="BV84" i="7"/>
  <c r="AF31" i="7"/>
  <c r="AE31" i="7"/>
  <c r="AE34" i="7"/>
  <c r="AN30" i="7"/>
  <c r="AM30" i="7"/>
  <c r="AE38" i="7"/>
  <c r="AF38" i="7"/>
  <c r="W45" i="7"/>
  <c r="X45" i="7"/>
  <c r="X30" i="7"/>
  <c r="W30" i="7"/>
  <c r="X41" i="7"/>
  <c r="W41" i="7"/>
  <c r="X48" i="7"/>
  <c r="W48" i="7"/>
  <c r="BV80" i="7"/>
  <c r="W47" i="7"/>
  <c r="X47" i="7"/>
  <c r="BV77" i="7"/>
  <c r="AV29" i="7"/>
  <c r="AU29" i="7"/>
  <c r="W38" i="7"/>
  <c r="X38" i="7"/>
  <c r="AF45" i="7"/>
  <c r="AE45" i="7"/>
  <c r="AV38" i="7"/>
  <c r="AU38" i="7"/>
  <c r="AE41" i="7"/>
  <c r="AF41" i="7"/>
  <c r="AN37" i="7"/>
  <c r="AM37" i="7"/>
  <c r="X43" i="7"/>
  <c r="W43" i="7"/>
  <c r="BV95" i="7"/>
  <c r="AE48" i="7"/>
  <c r="AF48" i="7"/>
  <c r="AF47" i="7"/>
  <c r="AE47" i="7"/>
  <c r="AM29" i="7"/>
  <c r="AN29" i="7"/>
  <c r="X36" i="7"/>
  <c r="W36" i="7"/>
  <c r="AF40" i="7"/>
  <c r="AE40" i="7"/>
  <c r="W39" i="7"/>
  <c r="X39" i="7"/>
  <c r="AN38" i="7"/>
  <c r="AM38" i="7"/>
  <c r="AM34" i="7"/>
  <c r="AN34" i="7"/>
  <c r="AE44" i="7"/>
  <c r="AF44" i="7"/>
  <c r="BV90" i="7"/>
  <c r="AU37" i="7"/>
  <c r="AV37" i="7"/>
  <c r="W34" i="7"/>
  <c r="AE36" i="7"/>
  <c r="AF36" i="7"/>
  <c r="X40" i="7"/>
  <c r="W40" i="7"/>
  <c r="AF39" i="7"/>
  <c r="AE39" i="7"/>
  <c r="X42" i="7"/>
  <c r="W42" i="7"/>
  <c r="AV34" i="7"/>
  <c r="AU34" i="7"/>
  <c r="X44" i="7"/>
  <c r="W44" i="7"/>
  <c r="BG26" i="7"/>
  <c r="BE26" i="7"/>
  <c r="BG22" i="7"/>
  <c r="BE22" i="7"/>
  <c r="BG25" i="7"/>
  <c r="BE25" i="7"/>
  <c r="BG24" i="7"/>
  <c r="BE24" i="7"/>
  <c r="BG23" i="7"/>
  <c r="BE23" i="7"/>
  <c r="BG27" i="7"/>
  <c r="BE27" i="7"/>
  <c r="BG28" i="7"/>
  <c r="BE28" i="7"/>
  <c r="X23" i="7"/>
  <c r="W23" i="7"/>
  <c r="AU22" i="7"/>
  <c r="AV22" i="7"/>
  <c r="AV25" i="7"/>
  <c r="AU25" i="7"/>
  <c r="AF24" i="7"/>
  <c r="AE24" i="7"/>
  <c r="X28" i="7"/>
  <c r="W28" i="7"/>
  <c r="AN22" i="7"/>
  <c r="AM22" i="7"/>
  <c r="AE22" i="7"/>
  <c r="AF22" i="7"/>
  <c r="AM25" i="7"/>
  <c r="AN25" i="7"/>
  <c r="X24" i="7"/>
  <c r="W24" i="7"/>
  <c r="AE28" i="7"/>
  <c r="AF28" i="7"/>
  <c r="BV91" i="7"/>
  <c r="BV89" i="7"/>
  <c r="X22" i="7"/>
  <c r="W22" i="7"/>
  <c r="AF27" i="7"/>
  <c r="AE27" i="7"/>
  <c r="AN26" i="7"/>
  <c r="AM26" i="7"/>
  <c r="AM23" i="7"/>
  <c r="AN23" i="7"/>
  <c r="X27" i="7"/>
  <c r="W27" i="7"/>
  <c r="W26" i="7"/>
  <c r="X26" i="7"/>
  <c r="AU24" i="7"/>
  <c r="AV24" i="7"/>
  <c r="X25" i="7"/>
  <c r="W25" i="7"/>
  <c r="AU26" i="7"/>
  <c r="AV26" i="7"/>
  <c r="AU23" i="7"/>
  <c r="AV23" i="7"/>
  <c r="AU27" i="7"/>
  <c r="AV27" i="7"/>
  <c r="AE23" i="7"/>
  <c r="AF23" i="7"/>
  <c r="AE25" i="7"/>
  <c r="AF25" i="7"/>
  <c r="AN28" i="7"/>
  <c r="AM28" i="7"/>
  <c r="AM27" i="7"/>
  <c r="AN27" i="7"/>
  <c r="AE26" i="7"/>
  <c r="AF26" i="7"/>
  <c r="AV28" i="7"/>
  <c r="AU28" i="7"/>
  <c r="AN24" i="7"/>
  <c r="AM24" i="7"/>
  <c r="BV107" i="7"/>
  <c r="BV101" i="7"/>
  <c r="BV108" i="7"/>
  <c r="BV102" i="7"/>
  <c r="BV106" i="7"/>
  <c r="BV104" i="7"/>
  <c r="BX96" i="7"/>
  <c r="BV105" i="7"/>
  <c r="BV99" i="7"/>
  <c r="BW109" i="7"/>
  <c r="BR120" i="7" s="1"/>
  <c r="BV98" i="7"/>
  <c r="BV103" i="7"/>
  <c r="BX103" i="7"/>
  <c r="BV97" i="7"/>
  <c r="BV100" i="7"/>
  <c r="BE18" i="7"/>
  <c r="BE16" i="7"/>
  <c r="BG13" i="7"/>
  <c r="BE14" i="7"/>
  <c r="BG11" i="7"/>
  <c r="BE17" i="7"/>
  <c r="BE10" i="7"/>
  <c r="BE12" i="7"/>
  <c r="BE19" i="7"/>
  <c r="BL109" i="7"/>
  <c r="BN109" i="7"/>
  <c r="BO108" i="7"/>
  <c r="BM108" i="7"/>
  <c r="BO47" i="7"/>
  <c r="BM47" i="7"/>
  <c r="BO39" i="7"/>
  <c r="BM39" i="7"/>
  <c r="BO93" i="7"/>
  <c r="BM93" i="7"/>
  <c r="BO84" i="7"/>
  <c r="BM84" i="7"/>
  <c r="BM78" i="7"/>
  <c r="BO92" i="7"/>
  <c r="BM92" i="7"/>
  <c r="BO53" i="7"/>
  <c r="BO71" i="7"/>
  <c r="BM71" i="7"/>
  <c r="BO72" i="7"/>
  <c r="BM72" i="7"/>
  <c r="BO70" i="7"/>
  <c r="BM70" i="7"/>
  <c r="BO103" i="7"/>
  <c r="BM103" i="7"/>
  <c r="BO58" i="7"/>
  <c r="BM58" i="7"/>
  <c r="BO62" i="7"/>
  <c r="BO60" i="7"/>
  <c r="BM60" i="7"/>
  <c r="BO51" i="7"/>
  <c r="BM51" i="7"/>
  <c r="BO40" i="7"/>
  <c r="BM40" i="7"/>
  <c r="BO75" i="7"/>
  <c r="BM75" i="7"/>
  <c r="BO90" i="7"/>
  <c r="BM90" i="7"/>
  <c r="BO57" i="7"/>
  <c r="BM57" i="7"/>
  <c r="BO104" i="7"/>
  <c r="BM104" i="7"/>
  <c r="BO73" i="7"/>
  <c r="BM73" i="7"/>
  <c r="BO85" i="7"/>
  <c r="BM85" i="7"/>
  <c r="BO79" i="7"/>
  <c r="BM79" i="7"/>
  <c r="BO64" i="7"/>
  <c r="BM64" i="7"/>
  <c r="BO66" i="7"/>
  <c r="BM66" i="7"/>
  <c r="BO91" i="7"/>
  <c r="BM91" i="7"/>
  <c r="BO69" i="7"/>
  <c r="BM69" i="7"/>
  <c r="BO49" i="7"/>
  <c r="BO59" i="7"/>
  <c r="BM59" i="7"/>
  <c r="BO74" i="7"/>
  <c r="BM74" i="7"/>
  <c r="BO45" i="7"/>
  <c r="BM45" i="7"/>
  <c r="BO100" i="7"/>
  <c r="BM100" i="7"/>
  <c r="BO82" i="7"/>
  <c r="BO63" i="7"/>
  <c r="BM63" i="7"/>
  <c r="BO106" i="7"/>
  <c r="BM106" i="7"/>
  <c r="BO52" i="7"/>
  <c r="BM52" i="7"/>
  <c r="BO56" i="7"/>
  <c r="BM56" i="7"/>
  <c r="BM28" i="7"/>
  <c r="BO86" i="7"/>
  <c r="BM86" i="7"/>
  <c r="BO80" i="7"/>
  <c r="BM80" i="7"/>
  <c r="BO65" i="7"/>
  <c r="BM65" i="7"/>
  <c r="BO81" i="7"/>
  <c r="BM81" i="7"/>
  <c r="BO87" i="7"/>
  <c r="BM87" i="7"/>
  <c r="BM43" i="7"/>
  <c r="BM107" i="7"/>
  <c r="BM99" i="7"/>
  <c r="BM55" i="7"/>
  <c r="BM105" i="7"/>
  <c r="BM34" i="7"/>
  <c r="BM88" i="7"/>
  <c r="BM42" i="7"/>
  <c r="BM95" i="7"/>
  <c r="BM54" i="7"/>
  <c r="BM46" i="7"/>
  <c r="BM44" i="7"/>
  <c r="BM61" i="7"/>
  <c r="BM36" i="7"/>
  <c r="BM94" i="7"/>
  <c r="BM89" i="7"/>
  <c r="BM50" i="7"/>
  <c r="BM83" i="7"/>
  <c r="BO16" i="7"/>
  <c r="BM16" i="7"/>
  <c r="BG9" i="7"/>
  <c r="BE9" i="7"/>
  <c r="BO11" i="7"/>
  <c r="BN23" i="7"/>
  <c r="BK23" i="7"/>
  <c r="BL23" i="7" s="1"/>
  <c r="BN21" i="7"/>
  <c r="BK21" i="7"/>
  <c r="BL21" i="7" s="1"/>
  <c r="BO21" i="7" s="1"/>
  <c r="BN20" i="7"/>
  <c r="BK20" i="7"/>
  <c r="BL20" i="7" s="1"/>
  <c r="BO20" i="7" s="1"/>
  <c r="BN25" i="7"/>
  <c r="BK25" i="7"/>
  <c r="BL25" i="7" s="1"/>
  <c r="BO25" i="7" s="1"/>
  <c r="BK35" i="7"/>
  <c r="BL35" i="7" s="1"/>
  <c r="BO35" i="7" s="1"/>
  <c r="BN35" i="7"/>
  <c r="BN13" i="7"/>
  <c r="BK13" i="7"/>
  <c r="BL13" i="7" s="1"/>
  <c r="BO13" i="7" s="1"/>
  <c r="BN10" i="7"/>
  <c r="BK10" i="7"/>
  <c r="BL10" i="7" s="1"/>
  <c r="BO10" i="7" s="1"/>
  <c r="BN14" i="7"/>
  <c r="BK14" i="7"/>
  <c r="BL14" i="7" s="1"/>
  <c r="BO14" i="7" s="1"/>
  <c r="BK15" i="7"/>
  <c r="BL15" i="7" s="1"/>
  <c r="BO15" i="7" s="1"/>
  <c r="BN15" i="7"/>
  <c r="BK96" i="7"/>
  <c r="BL96" i="7" s="1"/>
  <c r="BN96" i="7"/>
  <c r="BN18" i="7"/>
  <c r="BK18" i="7"/>
  <c r="BL18" i="7" s="1"/>
  <c r="BO18" i="7" s="1"/>
  <c r="BN27" i="7"/>
  <c r="BK27" i="7"/>
  <c r="BL27" i="7" s="1"/>
  <c r="BN32" i="7"/>
  <c r="BK32" i="7"/>
  <c r="BL32" i="7" s="1"/>
  <c r="BN12" i="7"/>
  <c r="BK12" i="7"/>
  <c r="BL12" i="7" s="1"/>
  <c r="BO12" i="7" s="1"/>
  <c r="BK22" i="7"/>
  <c r="BL22" i="7" s="1"/>
  <c r="BN22" i="7"/>
  <c r="BN33" i="7"/>
  <c r="BK33" i="7"/>
  <c r="BL33" i="7" s="1"/>
  <c r="BO33" i="7" s="1"/>
  <c r="BN9" i="7"/>
  <c r="BK9" i="7"/>
  <c r="BL9" i="7" s="1"/>
  <c r="BM9" i="7" s="1"/>
  <c r="BN29" i="7"/>
  <c r="BK29" i="7"/>
  <c r="BL29" i="7" s="1"/>
  <c r="BO29" i="7" s="1"/>
  <c r="BK26" i="7"/>
  <c r="BL26" i="7" s="1"/>
  <c r="BO26" i="7" s="1"/>
  <c r="BN26" i="7"/>
  <c r="BK37" i="7"/>
  <c r="BL37" i="7" s="1"/>
  <c r="BN37" i="7"/>
  <c r="BN31" i="7"/>
  <c r="BK31" i="7"/>
  <c r="BL31" i="7" s="1"/>
  <c r="BN38" i="7"/>
  <c r="BK38" i="7"/>
  <c r="BL38" i="7" s="1"/>
  <c r="BO38" i="7" s="1"/>
  <c r="BN30" i="7"/>
  <c r="BK30" i="7"/>
  <c r="BL30" i="7" s="1"/>
  <c r="BK24" i="7"/>
  <c r="BL24" i="7" s="1"/>
  <c r="BN24" i="7"/>
  <c r="BD109" i="7"/>
  <c r="AE21" i="7"/>
  <c r="AE20" i="7"/>
  <c r="W21" i="7"/>
  <c r="AN21" i="7"/>
  <c r="AM21" i="7"/>
  <c r="AV21" i="7"/>
  <c r="AU21" i="7"/>
  <c r="W20" i="7"/>
  <c r="AM20" i="7"/>
  <c r="AN20" i="7"/>
  <c r="AV20" i="7"/>
  <c r="AU20" i="7"/>
  <c r="AC109" i="7"/>
  <c r="AC111" i="7" s="1"/>
  <c r="U109" i="7"/>
  <c r="U111" i="7" s="1"/>
  <c r="W11" i="7"/>
  <c r="Y11" i="7"/>
  <c r="AG13" i="7"/>
  <c r="AE13" i="7"/>
  <c r="W16" i="7"/>
  <c r="Y16" i="7"/>
  <c r="W12" i="7"/>
  <c r="Y12" i="7"/>
  <c r="Y13" i="7"/>
  <c r="W13" i="7"/>
  <c r="AG16" i="7"/>
  <c r="AE16" i="7"/>
  <c r="AG17" i="7"/>
  <c r="AE17" i="7"/>
  <c r="Y18" i="7"/>
  <c r="W18" i="7"/>
  <c r="Y14" i="7"/>
  <c r="W14" i="7"/>
  <c r="Y15" i="7"/>
  <c r="W15" i="7"/>
  <c r="Y17" i="7"/>
  <c r="W17" i="7"/>
  <c r="AG18" i="7"/>
  <c r="AE18" i="7"/>
  <c r="AG14" i="7"/>
  <c r="AE14" i="7"/>
  <c r="AD9" i="7"/>
  <c r="AB109" i="7"/>
  <c r="AB111" i="7" s="1"/>
  <c r="Y10" i="7"/>
  <c r="W10" i="7"/>
  <c r="W19" i="7"/>
  <c r="Y19" i="7"/>
  <c r="V9" i="7"/>
  <c r="T109" i="7"/>
  <c r="T111" i="7" s="1"/>
  <c r="AG10" i="7"/>
  <c r="AE10" i="7"/>
  <c r="AG19" i="7"/>
  <c r="AE19" i="7"/>
  <c r="AG15" i="7"/>
  <c r="AE15" i="7"/>
  <c r="AG12" i="7"/>
  <c r="AE12" i="7"/>
  <c r="AG11" i="7"/>
  <c r="AE11" i="7"/>
  <c r="AM12" i="7"/>
  <c r="AM18" i="7"/>
  <c r="AM15" i="7"/>
  <c r="AJ109" i="7"/>
  <c r="AJ111" i="7" s="1"/>
  <c r="AL13" i="7"/>
  <c r="AO13" i="7" s="1"/>
  <c r="AO109" i="7" s="1"/>
  <c r="AR109" i="7"/>
  <c r="AR111" i="7" s="1"/>
  <c r="AU17" i="7"/>
  <c r="AM11" i="7"/>
  <c r="AM19" i="7"/>
  <c r="AN19" i="7"/>
  <c r="AM9" i="7"/>
  <c r="AV15" i="7"/>
  <c r="AU15" i="7"/>
  <c r="AU10" i="7"/>
  <c r="AV10" i="7"/>
  <c r="AU18" i="7"/>
  <c r="AV18" i="7"/>
  <c r="AM16" i="7"/>
  <c r="AU16" i="7"/>
  <c r="AV16" i="7"/>
  <c r="AN10" i="7"/>
  <c r="AM10" i="7"/>
  <c r="AU11" i="7"/>
  <c r="AU13" i="7"/>
  <c r="AN18" i="7"/>
  <c r="AM17" i="7"/>
  <c r="AV17" i="7"/>
  <c r="AU14" i="7"/>
  <c r="AS109" i="7"/>
  <c r="AS111" i="7" s="1"/>
  <c r="AU19" i="7"/>
  <c r="AN15" i="7"/>
  <c r="AM14" i="7"/>
  <c r="AU12" i="7"/>
  <c r="AN12" i="7"/>
  <c r="AK109" i="7"/>
  <c r="AK111" i="7" s="1"/>
  <c r="AT109" i="7"/>
  <c r="AW9" i="7"/>
  <c r="AW109" i="7" s="1"/>
  <c r="AU9" i="7"/>
  <c r="BM77" i="7" l="1"/>
  <c r="BM17" i="7"/>
  <c r="BM98" i="7"/>
  <c r="BM76" i="7"/>
  <c r="BM102" i="7"/>
  <c r="BM19" i="7"/>
  <c r="BM67" i="7"/>
  <c r="BM48" i="7"/>
  <c r="BX19" i="7"/>
  <c r="BV19" i="7"/>
  <c r="BX17" i="7"/>
  <c r="BV17" i="7"/>
  <c r="BX11" i="7"/>
  <c r="BV11" i="7"/>
  <c r="BO101" i="7"/>
  <c r="BX41" i="7"/>
  <c r="BV41" i="7"/>
  <c r="BX43" i="7"/>
  <c r="BV43" i="7"/>
  <c r="BM68" i="7"/>
  <c r="BX36" i="7"/>
  <c r="BV36" i="7"/>
  <c r="BM41" i="7"/>
  <c r="BU109" i="7"/>
  <c r="BU110" i="7" s="1"/>
  <c r="BM97" i="7"/>
  <c r="AF109" i="7"/>
  <c r="X109" i="7"/>
  <c r="T116" i="7" s="1"/>
  <c r="BG109" i="7"/>
  <c r="BM109" i="7"/>
  <c r="BI118" i="7" s="1"/>
  <c r="BO109" i="7"/>
  <c r="BM20" i="7"/>
  <c r="BM18" i="7"/>
  <c r="BM13" i="7"/>
  <c r="BO22" i="7"/>
  <c r="BM22" i="7"/>
  <c r="BO23" i="7"/>
  <c r="BM23" i="7"/>
  <c r="BO31" i="7"/>
  <c r="BM31" i="7"/>
  <c r="BO24" i="7"/>
  <c r="BM24" i="7"/>
  <c r="BO30" i="7"/>
  <c r="BM30" i="7"/>
  <c r="BO37" i="7"/>
  <c r="BM37" i="7"/>
  <c r="BO32" i="7"/>
  <c r="BM32" i="7"/>
  <c r="BO96" i="7"/>
  <c r="BM96" i="7"/>
  <c r="BO27" i="7"/>
  <c r="BM27" i="7"/>
  <c r="BM33" i="7"/>
  <c r="BM15" i="7"/>
  <c r="BM25" i="7"/>
  <c r="BM38" i="7"/>
  <c r="BM29" i="7"/>
  <c r="BM26" i="7"/>
  <c r="BM35" i="7"/>
  <c r="BM12" i="7"/>
  <c r="BM10" i="7"/>
  <c r="BM21" i="7"/>
  <c r="BM14" i="7"/>
  <c r="BO9" i="7"/>
  <c r="BD110" i="7"/>
  <c r="AB116" i="7"/>
  <c r="Y9" i="7"/>
  <c r="Y109" i="7" s="1"/>
  <c r="V109" i="7"/>
  <c r="W9" i="7"/>
  <c r="W109" i="7" s="1"/>
  <c r="AG9" i="7"/>
  <c r="AG109" i="7" s="1"/>
  <c r="AD109" i="7"/>
  <c r="AD111" i="7" s="1"/>
  <c r="AE9" i="7"/>
  <c r="AE109" i="7" s="1"/>
  <c r="AM13" i="7"/>
  <c r="AM109" i="7" s="1"/>
  <c r="AL109" i="7"/>
  <c r="AL111" i="7" s="1"/>
  <c r="AV109" i="7"/>
  <c r="AT111" i="7"/>
  <c r="AN109" i="7"/>
  <c r="AU109" i="7"/>
  <c r="AR115" i="7" s="1"/>
  <c r="BX109" i="7" l="1"/>
  <c r="BR122" i="7" s="1"/>
  <c r="BR125" i="7" s="1"/>
  <c r="BV109" i="7"/>
  <c r="BR118" i="7" s="1"/>
  <c r="BA122" i="7"/>
  <c r="BL110" i="7"/>
  <c r="BI122" i="7" s="1"/>
  <c r="AB115" i="7"/>
  <c r="AB120" i="7" s="1"/>
  <c r="AB121" i="7"/>
  <c r="V111" i="7"/>
  <c r="T121" i="7" s="1"/>
  <c r="T115" i="7"/>
  <c r="AJ115" i="7"/>
  <c r="AJ120" i="7" s="1"/>
  <c r="AR121" i="7"/>
  <c r="AR116" i="7"/>
  <c r="AR117" i="7" s="1"/>
  <c r="AU114" i="7" s="1"/>
  <c r="AJ121" i="7"/>
  <c r="AJ116" i="7"/>
  <c r="AR120" i="7"/>
  <c r="BR116" i="7" l="1"/>
  <c r="BR112" i="7"/>
  <c r="BR114" i="7" s="1"/>
  <c r="AB117" i="7"/>
  <c r="AE114" i="7" s="1"/>
  <c r="AB122" i="7"/>
  <c r="T120" i="7"/>
  <c r="T122" i="7" s="1"/>
  <c r="T117" i="7"/>
  <c r="AJ122" i="7"/>
  <c r="AJ117" i="7"/>
  <c r="AM114" i="7" s="1"/>
  <c r="AR122" i="7"/>
  <c r="P8" i="7" l="1"/>
  <c r="W114" i="7"/>
  <c r="R7" i="7" s="1"/>
  <c r="R8" i="7"/>
  <c r="BA109" i="7"/>
  <c r="BA110" i="7" s="1"/>
  <c r="BI110" i="7" l="1"/>
  <c r="BF109" i="7"/>
  <c r="BA120" i="7" s="1"/>
  <c r="BA125" i="7" s="1"/>
  <c r="BE109" i="7"/>
  <c r="BI120" i="7" l="1"/>
  <c r="BI125" i="7" s="1"/>
  <c r="BI116" i="7" s="1"/>
  <c r="BI112" i="7"/>
  <c r="BA112" i="7"/>
  <c r="BA118" i="7"/>
  <c r="BA116" i="7" s="1"/>
  <c r="Q4" i="7" s="1"/>
  <c r="BA114" i="7" l="1"/>
  <c r="O4" i="7" s="1"/>
  <c r="P4" i="7"/>
  <c r="BI114" i="7"/>
  <c r="P2" i="7" l="1"/>
  <c r="P3" i="7"/>
  <c r="P5" i="7"/>
</calcChain>
</file>

<file path=xl/sharedStrings.xml><?xml version="1.0" encoding="utf-8"?>
<sst xmlns="http://schemas.openxmlformats.org/spreadsheetml/2006/main" count="210" uniqueCount="91">
  <si>
    <t>Anzahl n</t>
  </si>
  <si>
    <t xml:space="preserve">tabelliert = </t>
  </si>
  <si>
    <t>Einzelwerte der Stichprobe</t>
  </si>
  <si>
    <t>Hilfsspalte Sortierung (1)</t>
  </si>
  <si>
    <t>Mittel  xquer; xquer*</t>
  </si>
  <si>
    <t>k3 (0.999; n = ∞)</t>
  </si>
  <si>
    <t xml:space="preserve">A= 1,520026; B= -0,422153; r= 0.999172 </t>
  </si>
  <si>
    <t xml:space="preserve">A= 1,924974; B= -0,528694; r= 0.999088 </t>
  </si>
  <si>
    <t>Y = e^[A*(lnlln(n)l^B]</t>
  </si>
  <si>
    <t>Y = A*[(n)^B]</t>
  </si>
  <si>
    <t xml:space="preserve">berechnet ~ </t>
  </si>
  <si>
    <t>Grubbs - Test</t>
  </si>
  <si>
    <t>Bereinigung Übertrag von A</t>
  </si>
  <si>
    <t>21 - 40</t>
  </si>
  <si>
    <t>41 - 60</t>
  </si>
  <si>
    <t>61 - 80</t>
  </si>
  <si>
    <t>81 - 100</t>
  </si>
  <si>
    <t>1 - 20</t>
  </si>
  <si>
    <t>EINZELWERTE DER STICHPROBE (URLISTE)</t>
  </si>
  <si>
    <t>k3 (0.999; n = (D111))</t>
  </si>
  <si>
    <t>k3 (0.500; n = (D111))</t>
  </si>
  <si>
    <t xml:space="preserve">Das eingetragene Zahlenbeispiel kann gelöscht und </t>
  </si>
  <si>
    <t>und überschrieben werden.</t>
  </si>
  <si>
    <t>Auflistung fortlaufend ohne Unterbruch! Restliche</t>
  </si>
  <si>
    <t>Mindestens 6 Einzelwerte sind zwingend erforderlich!</t>
  </si>
  <si>
    <t>Zellen müssen leer sein!</t>
  </si>
  <si>
    <t xml:space="preserve">Verzerrfaktor (κ) auf sd(S): </t>
  </si>
  <si>
    <t>(k3 0.999;n) - k3 0.500;n) / (k3 0.999; ∞);  führt als Multiplikator (G110) mit sd(S) zu sd(S+)</t>
  </si>
  <si>
    <t>Standard sd(S); sd(S+)</t>
  </si>
  <si>
    <t>[Summe x*y]</t>
  </si>
  <si>
    <t>[Summe y]</t>
  </si>
  <si>
    <t>[Summe y]^2</t>
  </si>
  <si>
    <t>Regressionskoeffizient B:</t>
  </si>
  <si>
    <t>Zähler =</t>
  </si>
  <si>
    <t xml:space="preserve">Nenner = </t>
  </si>
  <si>
    <t xml:space="preserve">Ergebnis für B = </t>
  </si>
  <si>
    <t>Konstantentherm A =</t>
  </si>
  <si>
    <t>Korrelationskoeffizient:</t>
  </si>
  <si>
    <t xml:space="preserve">Zähler = Zähler zu B = </t>
  </si>
  <si>
    <t>Nenner =</t>
  </si>
  <si>
    <t>Ergebnis Korr. Koeff.</t>
  </si>
  <si>
    <t xml:space="preserve">Reale Werte "Null" sind </t>
  </si>
  <si>
    <t>mit Wert 0,00001 (nicht aber mit 10^-5) einzutragen!</t>
  </si>
  <si>
    <t>Summenhäufigkeit unbereinigt (Y - Achse)</t>
  </si>
  <si>
    <t>Summenhäufigkeit bereinigt (Y - Achse)</t>
  </si>
  <si>
    <t>Aufsteigende Sortierung Einzelwerte (X - Achse)</t>
  </si>
  <si>
    <t>[*Summe x]</t>
  </si>
  <si>
    <t>[*Summe x]^2</t>
  </si>
  <si>
    <t>[*Summe (x^2)]</t>
  </si>
  <si>
    <t>[*Summe(y^2)]</t>
  </si>
  <si>
    <t>Umkehrung:           x = [(ln(y/(1-y))-A] / B</t>
  </si>
  <si>
    <t xml:space="preserve">[x] </t>
  </si>
  <si>
    <t>[y]</t>
  </si>
  <si>
    <t>X</t>
  </si>
  <si>
    <t>Y</t>
  </si>
  <si>
    <t>X*Y</t>
  </si>
  <si>
    <t>X^2</t>
  </si>
  <si>
    <t>Y^2</t>
  </si>
  <si>
    <t>Absteigende Sortierung Einzelwerte (X - Achse)</t>
  </si>
  <si>
    <t>Sortierung Bedingung (X - Achse)</t>
  </si>
  <si>
    <t>Mittelwert nach oben</t>
  </si>
  <si>
    <r>
      <t>Aus Vorgabe</t>
    </r>
    <r>
      <rPr>
        <b/>
        <sz val="11"/>
        <color rgb="FFFF0000"/>
        <rFont val="Calibri"/>
        <family val="2"/>
        <scheme val="minor"/>
      </rPr>
      <t xml:space="preserve"> x</t>
    </r>
    <r>
      <rPr>
        <sz val="11"/>
        <color rgb="FFFF0000"/>
        <rFont val="Calibri"/>
        <family val="2"/>
        <scheme val="minor"/>
      </rPr>
      <t xml:space="preserve"> (Zelle O2) folgt</t>
    </r>
    <r>
      <rPr>
        <b/>
        <sz val="11"/>
        <color rgb="FFFF0000"/>
        <rFont val="Calibri"/>
        <family val="2"/>
        <scheme val="minor"/>
      </rPr>
      <t xml:space="preserve"> y [%]</t>
    </r>
    <r>
      <rPr>
        <sz val="11"/>
        <color rgb="FFFF0000"/>
        <rFont val="Calibri"/>
        <family val="2"/>
        <scheme val="minor"/>
      </rPr>
      <t xml:space="preserve">  (Zelle P2):</t>
    </r>
  </si>
  <si>
    <r>
      <t>Aus Vorgabe</t>
    </r>
    <r>
      <rPr>
        <b/>
        <sz val="11"/>
        <color rgb="FFFF0000"/>
        <rFont val="Calibri"/>
        <family val="2"/>
        <scheme val="minor"/>
      </rPr>
      <t xml:space="preserve"> y [%]</t>
    </r>
    <r>
      <rPr>
        <sz val="11"/>
        <color rgb="FFFF0000"/>
        <rFont val="Calibri"/>
        <family val="2"/>
        <scheme val="minor"/>
      </rPr>
      <t xml:space="preserve"> (Zelle O3) folgt</t>
    </r>
    <r>
      <rPr>
        <b/>
        <sz val="11"/>
        <color rgb="FFFF0000"/>
        <rFont val="Calibri"/>
        <family val="2"/>
        <scheme val="minor"/>
      </rPr>
      <t xml:space="preserve"> x</t>
    </r>
    <r>
      <rPr>
        <sz val="11"/>
        <color rgb="FFFF0000"/>
        <rFont val="Calibri"/>
        <family val="2"/>
        <scheme val="minor"/>
      </rPr>
      <t xml:space="preserve"> (Zelle P3):</t>
    </r>
  </si>
  <si>
    <r>
      <t xml:space="preserve">Zelle P8 = </t>
    </r>
    <r>
      <rPr>
        <b/>
        <sz val="11"/>
        <color rgb="FF7030A0"/>
        <rFont val="Calibri"/>
        <family val="2"/>
        <scheme val="minor"/>
      </rPr>
      <t>Korrelation (r)</t>
    </r>
    <r>
      <rPr>
        <sz val="11"/>
        <color rgb="FF7030A0"/>
        <rFont val="Calibri"/>
        <family val="2"/>
        <scheme val="minor"/>
      </rPr>
      <t xml:space="preserve"> zwischen "unbereinigt" (x) und " bereinigt" (y) gemäss der Summenfunktion: y = A*x^B, wobei A = Zelle R7 und B = Zelle R8                                                                                   </t>
    </r>
    <r>
      <rPr>
        <b/>
        <sz val="11"/>
        <color rgb="FF7030A0"/>
        <rFont val="Calibri"/>
        <family val="2"/>
        <scheme val="minor"/>
      </rPr>
      <t xml:space="preserve">  r =</t>
    </r>
  </si>
  <si>
    <r>
      <rPr>
        <b/>
        <sz val="11"/>
        <color theme="9" tint="-0.249977111117893"/>
        <rFont val="Calibri"/>
        <family val="2"/>
        <scheme val="minor"/>
      </rPr>
      <t>WAHLTASTE</t>
    </r>
    <r>
      <rPr>
        <sz val="11"/>
        <color rgb="FFFF0000"/>
        <rFont val="Calibri"/>
        <family val="2"/>
        <scheme val="minor"/>
      </rPr>
      <t xml:space="preserve">: Mit </t>
    </r>
    <r>
      <rPr>
        <b/>
        <sz val="11"/>
        <color rgb="FF00B050"/>
        <rFont val="Calibri"/>
        <family val="2"/>
        <scheme val="minor"/>
      </rPr>
      <t>Zelle P7 =</t>
    </r>
    <r>
      <rPr>
        <sz val="11"/>
        <color rgb="FF00B050"/>
        <rFont val="Calibri"/>
        <family val="2"/>
        <scheme val="minor"/>
      </rPr>
      <t xml:space="preserve"> </t>
    </r>
    <r>
      <rPr>
        <b/>
        <sz val="11"/>
        <color theme="9" tint="-0.249977111117893"/>
        <rFont val="Calibri"/>
        <family val="2"/>
        <scheme val="minor"/>
      </rPr>
      <t>1</t>
    </r>
    <r>
      <rPr>
        <sz val="11"/>
        <color rgb="FFFF0000"/>
        <rFont val="Calibri"/>
        <family val="2"/>
        <scheme val="minor"/>
      </rPr>
      <t xml:space="preserve"> folgen grösste Häufigkeiten; Mit </t>
    </r>
    <r>
      <rPr>
        <b/>
        <sz val="11"/>
        <color rgb="FF00B050"/>
        <rFont val="Calibri"/>
        <family val="2"/>
        <scheme val="minor"/>
      </rPr>
      <t xml:space="preserve">Zelle P7 = </t>
    </r>
    <r>
      <rPr>
        <b/>
        <sz val="11"/>
        <color theme="9" tint="-0.249977111117893"/>
        <rFont val="Calibri"/>
        <family val="2"/>
        <scheme val="minor"/>
      </rPr>
      <t>2</t>
    </r>
    <r>
      <rPr>
        <sz val="10.25"/>
        <color rgb="FFFF0000"/>
        <rFont val="Calibri"/>
        <family val="2"/>
      </rPr>
      <t xml:space="preserve"> folgen </t>
    </r>
    <r>
      <rPr>
        <sz val="11"/>
        <color rgb="FFFF0000"/>
        <rFont val="Calibri"/>
        <family val="2"/>
        <scheme val="minor"/>
      </rPr>
      <t xml:space="preserve"> kleinste Häufigkeiten </t>
    </r>
  </si>
  <si>
    <r>
      <rPr>
        <b/>
        <sz val="11"/>
        <color rgb="FF00B0F0"/>
        <rFont val="Calibri"/>
        <family val="2"/>
        <scheme val="minor"/>
      </rPr>
      <t>WAHLTASTE</t>
    </r>
    <r>
      <rPr>
        <sz val="11"/>
        <color rgb="FFFF0000"/>
        <rFont val="Calibri"/>
        <family val="2"/>
        <scheme val="minor"/>
      </rPr>
      <t xml:space="preserve">: Mit </t>
    </r>
    <r>
      <rPr>
        <b/>
        <sz val="11"/>
        <color rgb="FF00B0F0"/>
        <rFont val="Calibri"/>
        <family val="2"/>
        <scheme val="minor"/>
      </rPr>
      <t>Zelle Q6 = 1</t>
    </r>
    <r>
      <rPr>
        <sz val="11"/>
        <color rgb="FFFF0000"/>
        <rFont val="Calibri"/>
        <family val="2"/>
        <scheme val="minor"/>
      </rPr>
      <t xml:space="preserve"> folgt  Unterschreitung [%], mit </t>
    </r>
    <r>
      <rPr>
        <b/>
        <sz val="11"/>
        <color rgb="FF00B0F0"/>
        <rFont val="Calibri"/>
        <family val="2"/>
        <scheme val="minor"/>
      </rPr>
      <t>Zelle Q6 = 2</t>
    </r>
    <r>
      <rPr>
        <sz val="11"/>
        <color rgb="FFFF0000"/>
        <rFont val="Calibri"/>
        <family val="2"/>
        <scheme val="minor"/>
      </rPr>
      <t xml:space="preserve"> folgt Überschreitung* (</t>
    </r>
    <r>
      <rPr>
        <b/>
        <sz val="11"/>
        <color rgb="FFFF0000"/>
        <rFont val="Calibri"/>
        <family val="2"/>
        <scheme val="minor"/>
      </rPr>
      <t>* zur Abfrage Vorzeichenwechsel!</t>
    </r>
    <r>
      <rPr>
        <sz val="11"/>
        <color rgb="FFFF0000"/>
        <rFont val="Calibri"/>
        <family val="2"/>
        <scheme val="minor"/>
      </rPr>
      <t>)</t>
    </r>
  </si>
  <si>
    <t xml:space="preserve">Eingabegrenze für x = Zelle P5  </t>
  </si>
  <si>
    <t>Σteil</t>
  </si>
  <si>
    <t>Therm B =</t>
  </si>
  <si>
    <t>Therm A =</t>
  </si>
  <si>
    <t>Korr. R</t>
  </si>
  <si>
    <t>Zähler von r</t>
  </si>
  <si>
    <t>*Nenner1 von r</t>
  </si>
  <si>
    <t>*Nenner2 von r</t>
  </si>
  <si>
    <t>*ohne Wurzel</t>
  </si>
  <si>
    <t>mit Wurzel</t>
  </si>
  <si>
    <t>Tot. Nenner</t>
  </si>
  <si>
    <t>④</t>
  </si>
  <si>
    <t>Y = (ln④)</t>
  </si>
  <si>
    <t>Summenfunktion: y = [e^(x*B+A)]/[((e^(x*B+A)+1)]; Therm A = Zelle O4; Therm B = Zelle P4; Korrel.mit Norm.vert: r = Zelle Q4</t>
  </si>
  <si>
    <t>zur Korrelation zwischen S-Kurve (TREND) und Norm.vert, wenn Überschreitungshäufigkeit gefragt (Q6=2)</t>
  </si>
  <si>
    <t>bessere Lösung (nicht nur 6 Werte) siehe RECHTS</t>
  </si>
  <si>
    <t>das ist die bessere Lösung (mit allen Werten)</t>
  </si>
  <si>
    <t>zur Korrelation zwischen S-Kurve (TREND) und Norm.vert, wenn UNTERschreitungshäufigkeit gefragt (Q6=1)</t>
  </si>
  <si>
    <t>zur Korrelation zwischen Normvert - unbereinigt und Normvert - bereinigt</t>
  </si>
  <si>
    <t xml:space="preserve">              P7 = 1; Q6 = 1; --&gt; T22</t>
  </si>
  <si>
    <t xml:space="preserve">         P7 = 2; Q6 = 1 --&gt; AB22</t>
  </si>
  <si>
    <t xml:space="preserve">                       P7 = 1; Q6 = 2; --&gt; AJ 122</t>
  </si>
  <si>
    <t xml:space="preserve">                       P7 = 2; Q6 = 2; --&gt; AR 122</t>
  </si>
  <si>
    <r>
      <t xml:space="preserve">Verzerrfaktor </t>
    </r>
    <r>
      <rPr>
        <sz val="11"/>
        <color theme="0"/>
        <rFont val="Calibri"/>
        <family val="2"/>
      </rPr>
      <t>κ =</t>
    </r>
  </si>
  <si>
    <r>
      <t>Y = (ln</t>
    </r>
    <r>
      <rPr>
        <sz val="10.25"/>
        <color theme="0"/>
        <rFont val="Calibri"/>
        <family val="2"/>
      </rPr>
      <t>④</t>
    </r>
    <r>
      <rPr>
        <sz val="9.5500000000000007"/>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</si>
</sst>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Verdana"/>
      <family val="2"/>
    </font>
    <font>
      <sz val="10"/>
      <name val="Verdana"/>
      <family val="2"/>
    </font>
    <font>
      <sz val="11"/>
      <color rgb="FFFF0000"/>
      <name val="Calibri"/>
      <family val="2"/>
      <scheme val="minor"/>
    </font>
    <font>
      <u/>
      <sz val="11"/>
      <color theme="10"/>
      <name val="Calibri"/>
      <family val="2"/>
      <scheme val="minor"/>
    </font>
    <font>
      <b/>
      <sz val="11"/>
      <color theme="1"/>
      <name val="Calibri"/>
      <family val="2"/>
      <scheme val="minor"/>
    </font>
    <font>
      <u/>
      <sz val="11"/>
      <color rgb="FF0070C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sz val="10.25"/>
      <color rgb="FFFF0000"/>
      <name val="Calibri"/>
      <family val="2"/>
    </font>
    <font>
      <b/>
      <sz val="11"/>
      <color theme="9" tint="-0.249977111117893"/>
      <name val="Calibri"/>
      <family val="2"/>
      <scheme val="minor"/>
    </font>
    <font>
      <sz val="11"/>
      <name val="Calibri"/>
      <family val="2"/>
      <scheme val="minor"/>
    </font>
    <font>
      <sz val="11"/>
      <color rgb="FF7030A0"/>
      <name val="Calibri"/>
      <family val="2"/>
      <scheme val="minor"/>
    </font>
    <font>
      <b/>
      <sz val="11"/>
      <color rgb="FF7030A0"/>
      <name val="Calibri"/>
      <family val="2"/>
      <scheme val="minor"/>
    </font>
    <font>
      <b/>
      <sz val="11"/>
      <color rgb="FF00B0F0"/>
      <name val="Calibri"/>
      <family val="2"/>
      <scheme val="minor"/>
    </font>
    <font>
      <sz val="11"/>
      <color theme="0"/>
      <name val="Calibri"/>
      <family val="2"/>
      <scheme val="minor"/>
    </font>
    <font>
      <sz val="11"/>
      <color theme="4" tint="-0.249977111117893"/>
      <name val="Calibri"/>
      <family val="2"/>
      <scheme val="minor"/>
    </font>
    <font>
      <sz val="11"/>
      <color rgb="FF00B050"/>
      <name val="Calibri"/>
      <family val="2"/>
      <scheme val="minor"/>
    </font>
    <font>
      <b/>
      <sz val="11"/>
      <color rgb="FF00B050"/>
      <name val="Calibri"/>
      <family val="2"/>
      <scheme val="minor"/>
    </font>
    <font>
      <b/>
      <sz val="11"/>
      <color theme="0"/>
      <name val="Calibri"/>
      <family val="2"/>
      <scheme val="minor"/>
    </font>
    <font>
      <sz val="11"/>
      <color theme="0"/>
      <name val="Calibri"/>
      <family val="2"/>
    </font>
    <font>
      <sz val="10"/>
      <color theme="0"/>
      <name val="Arial Unicode MS"/>
      <family val="2"/>
    </font>
    <font>
      <sz val="10.25"/>
      <color theme="0"/>
      <name val="Calibri"/>
      <family val="2"/>
    </font>
    <font>
      <sz val="9.5500000000000007"/>
      <color theme="0"/>
      <name val="Calibri"/>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s>
  <cellStyleXfs count="4">
    <xf numFmtId="0" fontId="0" fillId="0" borderId="0"/>
    <xf numFmtId="0" fontId="1" fillId="0" borderId="0"/>
    <xf numFmtId="9" fontId="2" fillId="0" borderId="0" applyFont="0" applyFill="0" applyBorder="0" applyAlignment="0" applyProtection="0"/>
    <xf numFmtId="0" fontId="4" fillId="0" borderId="0" applyNumberFormat="0" applyFill="0" applyBorder="0" applyAlignment="0" applyProtection="0"/>
  </cellStyleXfs>
  <cellXfs count="81">
    <xf numFmtId="0" fontId="0" fillId="0" borderId="0" xfId="0"/>
    <xf numFmtId="0" fontId="0" fillId="0" borderId="0" xfId="0" applyProtection="1">
      <protection locked="0"/>
    </xf>
    <xf numFmtId="0" fontId="0" fillId="0" borderId="0" xfId="0" applyFill="1" applyProtection="1">
      <protection locked="0"/>
    </xf>
    <xf numFmtId="0" fontId="0" fillId="4" borderId="0" xfId="0" applyFill="1" applyProtection="1"/>
    <xf numFmtId="0" fontId="0" fillId="0" borderId="0" xfId="0" applyFill="1" applyBorder="1" applyProtection="1">
      <protection locked="0"/>
    </xf>
    <xf numFmtId="0" fontId="0" fillId="2" borderId="0" xfId="0" applyFill="1" applyBorder="1" applyProtection="1"/>
    <xf numFmtId="0" fontId="0" fillId="3" borderId="0" xfId="0" applyFill="1" applyBorder="1" applyProtection="1"/>
    <xf numFmtId="0" fontId="3" fillId="2" borderId="0" xfId="0" applyFont="1" applyFill="1" applyBorder="1" applyProtection="1"/>
    <xf numFmtId="0" fontId="0" fillId="0"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49" fontId="0" fillId="0" borderId="4" xfId="0" applyNumberFormat="1" applyFill="1" applyBorder="1" applyAlignment="1" applyProtection="1">
      <alignment horizontal="right"/>
    </xf>
    <xf numFmtId="0" fontId="0" fillId="3" borderId="5" xfId="0" applyFill="1" applyBorder="1" applyProtection="1">
      <protection locked="0"/>
    </xf>
    <xf numFmtId="0" fontId="0" fillId="0" borderId="6" xfId="0" applyFill="1" applyBorder="1" applyProtection="1">
      <protection locked="0"/>
    </xf>
    <xf numFmtId="0" fontId="0" fillId="0" borderId="4" xfId="0" applyFill="1" applyBorder="1" applyProtection="1">
      <protection locked="0"/>
    </xf>
    <xf numFmtId="0" fontId="0" fillId="3" borderId="5" xfId="0" applyFill="1" applyBorder="1" applyProtection="1"/>
    <xf numFmtId="0" fontId="6" fillId="2" borderId="4" xfId="3" applyFont="1" applyFill="1" applyBorder="1" applyAlignment="1" applyProtection="1">
      <alignment horizontal="right"/>
    </xf>
    <xf numFmtId="0" fontId="0" fillId="2" borderId="7" xfId="0" applyFill="1" applyBorder="1" applyProtection="1"/>
    <xf numFmtId="0" fontId="3" fillId="2" borderId="8" xfId="0" applyFont="1" applyFill="1" applyBorder="1" applyProtection="1"/>
    <xf numFmtId="0" fontId="16" fillId="0" borderId="0" xfId="0" applyFont="1" applyFill="1" applyProtection="1">
      <protection locked="0"/>
    </xf>
    <xf numFmtId="0" fontId="16" fillId="0" borderId="4" xfId="0" applyFont="1" applyFill="1" applyBorder="1" applyProtection="1">
      <protection locked="0"/>
    </xf>
    <xf numFmtId="0" fontId="16" fillId="0" borderId="0" xfId="0" applyFont="1" applyFill="1" applyBorder="1" applyProtection="1">
      <protection locked="0"/>
    </xf>
    <xf numFmtId="0" fontId="0" fillId="2" borderId="9" xfId="0" applyFill="1" applyBorder="1" applyProtection="1"/>
    <xf numFmtId="0" fontId="0" fillId="4" borderId="0" xfId="0" applyFill="1" applyProtection="1">
      <protection locked="0"/>
    </xf>
    <xf numFmtId="0" fontId="0" fillId="0" borderId="3" xfId="0" applyFill="1" applyBorder="1" applyProtection="1">
      <protection locked="0"/>
    </xf>
    <xf numFmtId="0" fontId="7" fillId="2" borderId="0" xfId="0" applyFont="1" applyFill="1" applyAlignment="1" applyProtection="1"/>
    <xf numFmtId="0" fontId="3" fillId="2" borderId="0" xfId="0" applyFont="1" applyFill="1" applyAlignment="1" applyProtection="1"/>
    <xf numFmtId="0" fontId="9" fillId="2" borderId="0" xfId="0" applyFont="1" applyFill="1" applyAlignment="1" applyProtection="1">
      <alignment horizontal="center"/>
    </xf>
    <xf numFmtId="0" fontId="7" fillId="2" borderId="0" xfId="0" applyFont="1" applyFill="1" applyAlignment="1" applyProtection="1">
      <alignment horizontal="center"/>
    </xf>
    <xf numFmtId="0" fontId="3" fillId="2" borderId="0" xfId="0" applyFont="1" applyFill="1" applyAlignment="1" applyProtection="1">
      <alignment horizontal="center"/>
    </xf>
    <xf numFmtId="0" fontId="9" fillId="2" borderId="0" xfId="0" applyFont="1" applyFill="1" applyAlignment="1" applyProtection="1">
      <alignment horizontal="right" vertical="center" readingOrder="1"/>
    </xf>
    <xf numFmtId="0" fontId="0" fillId="2" borderId="0" xfId="0" applyFill="1" applyProtection="1"/>
    <xf numFmtId="0" fontId="0" fillId="2" borderId="0" xfId="0" applyFill="1" applyAlignment="1" applyProtection="1"/>
    <xf numFmtId="0" fontId="3" fillId="2" borderId="0" xfId="0" applyFont="1" applyFill="1" applyAlignment="1" applyProtection="1">
      <alignment horizontal="left"/>
    </xf>
    <xf numFmtId="0" fontId="0" fillId="2" borderId="0" xfId="0" applyFill="1" applyAlignment="1" applyProtection="1">
      <alignment horizontal="left"/>
    </xf>
    <xf numFmtId="0" fontId="13" fillId="2" borderId="0" xfId="0" applyFont="1" applyFill="1" applyAlignment="1" applyProtection="1">
      <alignment horizontal="center"/>
    </xf>
    <xf numFmtId="0" fontId="13" fillId="2" borderId="0" xfId="0" applyFont="1" applyFill="1" applyAlignment="1" applyProtection="1"/>
    <xf numFmtId="0" fontId="14" fillId="2" borderId="0" xfId="0" applyFont="1" applyFill="1" applyAlignment="1" applyProtection="1">
      <alignment horizontal="center"/>
    </xf>
    <xf numFmtId="0" fontId="3" fillId="2" borderId="0" xfId="0" applyFont="1" applyFill="1" applyBorder="1" applyAlignment="1" applyProtection="1">
      <alignment horizontal="right"/>
    </xf>
    <xf numFmtId="0" fontId="9" fillId="0" borderId="0" xfId="0" applyFont="1" applyFill="1" applyProtection="1"/>
    <xf numFmtId="0" fontId="7" fillId="3" borderId="1" xfId="0" applyFont="1" applyFill="1" applyBorder="1" applyAlignment="1" applyProtection="1">
      <alignment horizontal="center"/>
      <protection locked="0"/>
    </xf>
    <xf numFmtId="0" fontId="3" fillId="3" borderId="0" xfId="0" applyFont="1" applyFill="1" applyAlignment="1" applyProtection="1">
      <alignment horizontal="left"/>
    </xf>
    <xf numFmtId="0" fontId="12" fillId="0" borderId="0" xfId="0" applyFont="1" applyFill="1" applyProtection="1"/>
    <xf numFmtId="0" fontId="12" fillId="0" borderId="0" xfId="0" applyFont="1" applyFill="1" applyAlignment="1" applyProtection="1">
      <alignment horizontal="center"/>
    </xf>
    <xf numFmtId="0" fontId="16" fillId="4" borderId="0" xfId="0" applyFont="1" applyFill="1" applyProtection="1"/>
    <xf numFmtId="0" fontId="16" fillId="4" borderId="0" xfId="0" applyFont="1" applyFill="1" applyAlignment="1" applyProtection="1">
      <alignment horizontal="center"/>
    </xf>
    <xf numFmtId="0" fontId="20" fillId="4" borderId="0" xfId="0" applyFont="1" applyFill="1" applyAlignment="1" applyProtection="1">
      <alignment horizontal="center"/>
    </xf>
    <xf numFmtId="0" fontId="16" fillId="4" borderId="0" xfId="0" applyFont="1" applyFill="1" applyAlignment="1" applyProtection="1">
      <alignment horizontal="right"/>
    </xf>
    <xf numFmtId="0" fontId="20" fillId="4" borderId="0" xfId="0" applyFont="1" applyFill="1" applyAlignment="1" applyProtection="1">
      <alignment horizontal="right"/>
    </xf>
    <xf numFmtId="0" fontId="16" fillId="4" borderId="0" xfId="0" applyFont="1" applyFill="1" applyBorder="1" applyProtection="1"/>
    <xf numFmtId="0" fontId="16" fillId="4" borderId="0" xfId="0" applyFont="1" applyFill="1" applyBorder="1" applyAlignment="1" applyProtection="1">
      <alignment horizontal="right"/>
    </xf>
    <xf numFmtId="0" fontId="20" fillId="4" borderId="0" xfId="0" applyFont="1" applyFill="1" applyBorder="1" applyAlignment="1" applyProtection="1">
      <alignment horizontal="right"/>
    </xf>
    <xf numFmtId="0" fontId="20" fillId="4" borderId="0" xfId="0" applyFont="1" applyFill="1" applyAlignment="1" applyProtection="1">
      <alignment horizontal="right" wrapText="1"/>
    </xf>
    <xf numFmtId="0" fontId="20" fillId="4" borderId="0" xfId="0" applyFont="1" applyFill="1" applyProtection="1"/>
    <xf numFmtId="0" fontId="22" fillId="4" borderId="0" xfId="0" applyFont="1" applyFill="1" applyAlignment="1" applyProtection="1">
      <alignment horizontal="right" vertical="center"/>
    </xf>
    <xf numFmtId="0" fontId="16" fillId="4" borderId="0" xfId="0" applyFont="1" applyFill="1" applyBorder="1" applyAlignment="1" applyProtection="1">
      <alignment horizontal="left" vertical="center"/>
    </xf>
    <xf numFmtId="0" fontId="16" fillId="4" borderId="0" xfId="0" applyFont="1" applyFill="1" applyAlignment="1" applyProtection="1">
      <alignment horizontal="left"/>
    </xf>
    <xf numFmtId="0" fontId="16" fillId="4" borderId="0" xfId="0" applyFont="1" applyFill="1" applyAlignment="1" applyProtection="1"/>
    <xf numFmtId="0" fontId="21" fillId="4" borderId="0" xfId="0" applyFont="1" applyFill="1" applyAlignment="1" applyProtection="1">
      <alignment horizontal="center"/>
    </xf>
    <xf numFmtId="0" fontId="16" fillId="4" borderId="0" xfId="0" quotePrefix="1" applyFont="1" applyFill="1" applyProtection="1"/>
    <xf numFmtId="0" fontId="0" fillId="3" borderId="0" xfId="0" applyFill="1" applyProtection="1"/>
    <xf numFmtId="0" fontId="9" fillId="0" borderId="0" xfId="0" applyFont="1" applyFill="1" applyProtection="1">
      <protection locked="0"/>
    </xf>
    <xf numFmtId="0" fontId="12" fillId="0" borderId="0" xfId="0" applyFont="1" applyFill="1" applyProtection="1">
      <protection locked="0"/>
    </xf>
    <xf numFmtId="0" fontId="3" fillId="0" borderId="0" xfId="0" applyFont="1" applyProtection="1">
      <protection locked="0"/>
    </xf>
    <xf numFmtId="0" fontId="16" fillId="4" borderId="0" xfId="0" applyFont="1" applyFill="1" applyBorder="1" applyAlignment="1" applyProtection="1">
      <alignment horizontal="center"/>
    </xf>
    <xf numFmtId="0" fontId="12" fillId="4" borderId="0" xfId="0" applyFont="1" applyFill="1" applyAlignment="1" applyProtection="1">
      <alignment horizontal="left"/>
    </xf>
    <xf numFmtId="0" fontId="12" fillId="4" borderId="0" xfId="0" applyFont="1" applyFill="1" applyProtection="1"/>
    <xf numFmtId="0" fontId="12" fillId="4" borderId="0" xfId="0" applyFont="1" applyFill="1" applyAlignment="1" applyProtection="1">
      <alignment horizontal="right"/>
    </xf>
    <xf numFmtId="0" fontId="12" fillId="4" borderId="0" xfId="0" applyFont="1" applyFill="1" applyAlignment="1" applyProtection="1">
      <alignment horizontal="center"/>
    </xf>
    <xf numFmtId="0" fontId="12" fillId="0" borderId="0" xfId="0" applyFont="1" applyProtection="1">
      <protection locked="0"/>
    </xf>
    <xf numFmtId="0" fontId="16" fillId="0" borderId="0" xfId="0" applyFont="1" applyFill="1" applyProtection="1"/>
    <xf numFmtId="0" fontId="12" fillId="0" borderId="0" xfId="0" applyFont="1" applyProtection="1"/>
    <xf numFmtId="0" fontId="5" fillId="0" borderId="4" xfId="0" applyFont="1" applyFill="1" applyBorder="1" applyAlignment="1" applyProtection="1">
      <alignment horizontal="center"/>
    </xf>
    <xf numFmtId="0" fontId="5" fillId="0" borderId="0" xfId="0" applyFont="1" applyBorder="1" applyAlignment="1" applyProtection="1">
      <alignment horizontal="center"/>
    </xf>
    <xf numFmtId="0" fontId="8" fillId="6" borderId="0" xfId="0" applyFont="1" applyFill="1" applyAlignment="1" applyProtection="1">
      <alignment horizontal="center"/>
      <protection locked="0"/>
    </xf>
    <xf numFmtId="0" fontId="5" fillId="5" borderId="0" xfId="0" applyFont="1" applyFill="1" applyAlignment="1" applyProtection="1">
      <alignment horizontal="center"/>
      <protection locked="0"/>
    </xf>
    <xf numFmtId="0" fontId="17" fillId="0" borderId="0" xfId="0" applyFont="1" applyProtection="1"/>
    <xf numFmtId="0" fontId="3" fillId="0" borderId="0" xfId="0" applyFont="1" applyProtection="1"/>
    <xf numFmtId="0" fontId="0" fillId="0" borderId="0" xfId="0" applyProtection="1"/>
    <xf numFmtId="0" fontId="3" fillId="0" borderId="0" xfId="0" applyFont="1" applyFill="1" applyProtection="1"/>
  </cellXfs>
  <cellStyles count="4">
    <cellStyle name="Link" xfId="3" builtinId="8"/>
    <cellStyle name="Prozent 2" xfId="2" xr:uid="{00000000-0005-0000-0000-000001000000}"/>
    <cellStyle name="Standard" xfId="0" builtinId="0"/>
    <cellStyle name="Standard 2" xfId="1" xr:uid="{00000000-0005-0000-0000-00000300000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de-CH" sz="1800"/>
              <a:t>Summenkurven</a:t>
            </a:r>
            <a:r>
              <a:rPr lang="de-CH" sz="1800" baseline="0"/>
              <a:t> aus Stichprobe                                                                                                                                                                                                                  </a:t>
            </a:r>
          </a:p>
          <a:p>
            <a:pPr algn="ctr">
              <a:defRPr/>
            </a:pPr>
            <a:endParaRPr lang="de-CH" sz="1000" baseline="0">
              <a:solidFill>
                <a:schemeClr val="accent6">
                  <a:lumMod val="75000"/>
                </a:schemeClr>
              </a:solidFill>
            </a:endParaRPr>
          </a:p>
        </c:rich>
      </c:tx>
      <c:layout>
        <c:manualLayout>
          <c:xMode val="edge"/>
          <c:yMode val="edge"/>
          <c:x val="0.28387043038135951"/>
          <c:y val="1.0111557896075768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5032940413760598"/>
          <c:y val="0.24691209284368726"/>
          <c:w val="0.74431474920578411"/>
          <c:h val="0.45813376556718149"/>
        </c:manualLayout>
      </c:layout>
      <c:scatterChart>
        <c:scatterStyle val="smoothMarker"/>
        <c:varyColors val="0"/>
        <c:ser>
          <c:idx val="0"/>
          <c:order val="0"/>
          <c:tx>
            <c:v>Einzelwerte unbereinigt</c:v>
          </c:tx>
          <c:spPr>
            <a:ln w="19050" cap="rnd">
              <a:solidFill>
                <a:schemeClr val="accent1"/>
              </a:solidFill>
              <a:prstDash val="sysDot"/>
              <a:round/>
            </a:ln>
            <a:effectLst/>
          </c:spPr>
          <c:marker>
            <c:symbol val="circle"/>
            <c:size val="5"/>
            <c:spPr>
              <a:solidFill>
                <a:schemeClr val="accent1"/>
              </a:solidFill>
              <a:ln w="9525">
                <a:solidFill>
                  <a:schemeClr val="accent1"/>
                </a:solidFill>
                <a:prstDash val="sysDot"/>
              </a:ln>
              <a:effectLst/>
            </c:spPr>
          </c:marker>
          <c:xVal>
            <c:numRef>
              <c:f>' GRAFIKEN UND ABFRAGEN'!$F$9:$F$108</c:f>
              <c:numCache>
                <c:formatCode>General</c:formatCode>
                <c:ptCount val="100"/>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pt idx="42">
                  <c:v>-20000</c:v>
                </c:pt>
                <c:pt idx="43">
                  <c:v>-20000</c:v>
                </c:pt>
                <c:pt idx="44">
                  <c:v>-20000</c:v>
                </c:pt>
                <c:pt idx="45">
                  <c:v>-20000</c:v>
                </c:pt>
                <c:pt idx="46">
                  <c:v>-20000</c:v>
                </c:pt>
                <c:pt idx="47">
                  <c:v>-20000</c:v>
                </c:pt>
                <c:pt idx="48">
                  <c:v>-20000</c:v>
                </c:pt>
                <c:pt idx="49">
                  <c:v>-20000</c:v>
                </c:pt>
                <c:pt idx="50">
                  <c:v>-20000</c:v>
                </c:pt>
                <c:pt idx="51">
                  <c:v>-20000</c:v>
                </c:pt>
                <c:pt idx="52">
                  <c:v>-20000</c:v>
                </c:pt>
                <c:pt idx="53">
                  <c:v>-20000</c:v>
                </c:pt>
                <c:pt idx="54">
                  <c:v>-20000</c:v>
                </c:pt>
                <c:pt idx="55">
                  <c:v>-20000</c:v>
                </c:pt>
                <c:pt idx="56">
                  <c:v>-20000</c:v>
                </c:pt>
                <c:pt idx="57">
                  <c:v>-20000</c:v>
                </c:pt>
                <c:pt idx="58">
                  <c:v>-20000</c:v>
                </c:pt>
                <c:pt idx="59">
                  <c:v>-20000</c:v>
                </c:pt>
                <c:pt idx="60">
                  <c:v>-20000</c:v>
                </c:pt>
                <c:pt idx="61">
                  <c:v>-20000</c:v>
                </c:pt>
                <c:pt idx="62">
                  <c:v>-20000</c:v>
                </c:pt>
                <c:pt idx="63">
                  <c:v>-20000</c:v>
                </c:pt>
                <c:pt idx="64">
                  <c:v>-20000</c:v>
                </c:pt>
                <c:pt idx="65">
                  <c:v>-20000</c:v>
                </c:pt>
                <c:pt idx="66">
                  <c:v>-20000</c:v>
                </c:pt>
                <c:pt idx="67">
                  <c:v>-20000</c:v>
                </c:pt>
                <c:pt idx="68">
                  <c:v>-20000</c:v>
                </c:pt>
                <c:pt idx="69">
                  <c:v>-20000</c:v>
                </c:pt>
                <c:pt idx="70">
                  <c:v>-20000</c:v>
                </c:pt>
                <c:pt idx="71">
                  <c:v>-20000</c:v>
                </c:pt>
                <c:pt idx="72">
                  <c:v>-20000</c:v>
                </c:pt>
                <c:pt idx="73">
                  <c:v>-20000</c:v>
                </c:pt>
                <c:pt idx="74">
                  <c:v>-20000</c:v>
                </c:pt>
                <c:pt idx="75">
                  <c:v>-20000</c:v>
                </c:pt>
                <c:pt idx="76">
                  <c:v>-20000</c:v>
                </c:pt>
                <c:pt idx="77">
                  <c:v>-20000</c:v>
                </c:pt>
                <c:pt idx="78">
                  <c:v>-20000</c:v>
                </c:pt>
                <c:pt idx="79">
                  <c:v>-20000</c:v>
                </c:pt>
                <c:pt idx="80">
                  <c:v>-20000</c:v>
                </c:pt>
                <c:pt idx="81">
                  <c:v>-20000</c:v>
                </c:pt>
                <c:pt idx="82">
                  <c:v>-20000</c:v>
                </c:pt>
                <c:pt idx="83">
                  <c:v>-20000</c:v>
                </c:pt>
                <c:pt idx="84">
                  <c:v>-20000</c:v>
                </c:pt>
                <c:pt idx="85">
                  <c:v>-20000</c:v>
                </c:pt>
                <c:pt idx="86">
                  <c:v>-20000</c:v>
                </c:pt>
                <c:pt idx="87">
                  <c:v>-20000</c:v>
                </c:pt>
                <c:pt idx="88">
                  <c:v>-19500</c:v>
                </c:pt>
                <c:pt idx="89">
                  <c:v>-18200</c:v>
                </c:pt>
                <c:pt idx="90">
                  <c:v>-17000</c:v>
                </c:pt>
                <c:pt idx="91">
                  <c:v>-16100</c:v>
                </c:pt>
                <c:pt idx="92">
                  <c:v>-16000</c:v>
                </c:pt>
                <c:pt idx="93">
                  <c:v>-14000</c:v>
                </c:pt>
                <c:pt idx="94">
                  <c:v>-13500</c:v>
                </c:pt>
                <c:pt idx="95">
                  <c:v>-12000</c:v>
                </c:pt>
                <c:pt idx="96">
                  <c:v>-9400</c:v>
                </c:pt>
                <c:pt idx="97">
                  <c:v>-6000</c:v>
                </c:pt>
                <c:pt idx="98">
                  <c:v>-5000</c:v>
                </c:pt>
                <c:pt idx="99">
                  <c:v>-2000</c:v>
                </c:pt>
              </c:numCache>
            </c:numRef>
          </c:xVal>
          <c:yVal>
            <c:numRef>
              <c:f>' GRAFIKEN UND ABFRAGEN'!$G$9:$G$108</c:f>
              <c:numCache>
                <c:formatCode>General</c:formatCode>
                <c:ptCount val="100"/>
                <c:pt idx="0">
                  <c:v>0.11251763361691523</c:v>
                </c:pt>
                <c:pt idx="1">
                  <c:v>0.11251763361691523</c:v>
                </c:pt>
                <c:pt idx="2">
                  <c:v>0.11251763361691523</c:v>
                </c:pt>
                <c:pt idx="3">
                  <c:v>0.11251763361691523</c:v>
                </c:pt>
                <c:pt idx="4">
                  <c:v>0.11251763361691523</c:v>
                </c:pt>
                <c:pt idx="5">
                  <c:v>0.11251763361691523</c:v>
                </c:pt>
                <c:pt idx="6">
                  <c:v>0.11251763361691523</c:v>
                </c:pt>
                <c:pt idx="7">
                  <c:v>0.11251763361691523</c:v>
                </c:pt>
                <c:pt idx="8">
                  <c:v>0.11251763361691523</c:v>
                </c:pt>
                <c:pt idx="9">
                  <c:v>0.11251763361691523</c:v>
                </c:pt>
                <c:pt idx="10">
                  <c:v>0.11251763361691523</c:v>
                </c:pt>
                <c:pt idx="11">
                  <c:v>0.11251763361691523</c:v>
                </c:pt>
                <c:pt idx="12">
                  <c:v>0.11251763361691523</c:v>
                </c:pt>
                <c:pt idx="13">
                  <c:v>0.11251763361691523</c:v>
                </c:pt>
                <c:pt idx="14">
                  <c:v>0.11251763361691523</c:v>
                </c:pt>
                <c:pt idx="15">
                  <c:v>0.11251763361691523</c:v>
                </c:pt>
                <c:pt idx="16">
                  <c:v>0.11251763361691523</c:v>
                </c:pt>
                <c:pt idx="17">
                  <c:v>0.11251763361691523</c:v>
                </c:pt>
                <c:pt idx="18">
                  <c:v>0.11251763361691523</c:v>
                </c:pt>
                <c:pt idx="19">
                  <c:v>0.11251763361691523</c:v>
                </c:pt>
                <c:pt idx="20">
                  <c:v>0.11251763361691523</c:v>
                </c:pt>
                <c:pt idx="21">
                  <c:v>0.11251763361691523</c:v>
                </c:pt>
                <c:pt idx="22">
                  <c:v>0.11251763361691523</c:v>
                </c:pt>
                <c:pt idx="23">
                  <c:v>0.11251763361691523</c:v>
                </c:pt>
                <c:pt idx="24">
                  <c:v>0.11251763361691523</c:v>
                </c:pt>
                <c:pt idx="25">
                  <c:v>0.11251763361691523</c:v>
                </c:pt>
                <c:pt idx="26">
                  <c:v>0.11251763361691523</c:v>
                </c:pt>
                <c:pt idx="27">
                  <c:v>0.11251763361691523</c:v>
                </c:pt>
                <c:pt idx="28">
                  <c:v>0.11251763361691523</c:v>
                </c:pt>
                <c:pt idx="29">
                  <c:v>0.11251763361691523</c:v>
                </c:pt>
                <c:pt idx="30">
                  <c:v>0.11251763361691523</c:v>
                </c:pt>
                <c:pt idx="31">
                  <c:v>0.11251763361691523</c:v>
                </c:pt>
                <c:pt idx="32">
                  <c:v>0.11251763361691523</c:v>
                </c:pt>
                <c:pt idx="33">
                  <c:v>0.11251763361691523</c:v>
                </c:pt>
                <c:pt idx="34">
                  <c:v>0.11251763361691523</c:v>
                </c:pt>
                <c:pt idx="35">
                  <c:v>0.11251763361691523</c:v>
                </c:pt>
                <c:pt idx="36">
                  <c:v>0.11251763361691523</c:v>
                </c:pt>
                <c:pt idx="37">
                  <c:v>0.11251763361691523</c:v>
                </c:pt>
                <c:pt idx="38">
                  <c:v>0.11251763361691523</c:v>
                </c:pt>
                <c:pt idx="39">
                  <c:v>0.11251763361691523</c:v>
                </c:pt>
                <c:pt idx="40">
                  <c:v>0.11251763361691523</c:v>
                </c:pt>
                <c:pt idx="41">
                  <c:v>0.11251763361691523</c:v>
                </c:pt>
                <c:pt idx="42">
                  <c:v>0.11251763361691523</c:v>
                </c:pt>
                <c:pt idx="43">
                  <c:v>0.11251763361691523</c:v>
                </c:pt>
                <c:pt idx="44">
                  <c:v>0.11251763361691523</c:v>
                </c:pt>
                <c:pt idx="45">
                  <c:v>0.11251763361691523</c:v>
                </c:pt>
                <c:pt idx="46">
                  <c:v>0.11251763361691523</c:v>
                </c:pt>
                <c:pt idx="47">
                  <c:v>0.11251763361691523</c:v>
                </c:pt>
                <c:pt idx="48">
                  <c:v>0.11251763361691523</c:v>
                </c:pt>
                <c:pt idx="49">
                  <c:v>0.11251763361691523</c:v>
                </c:pt>
                <c:pt idx="50">
                  <c:v>0.11251763361691523</c:v>
                </c:pt>
                <c:pt idx="51">
                  <c:v>0.11251763361691523</c:v>
                </c:pt>
                <c:pt idx="52">
                  <c:v>0.11251763361691523</c:v>
                </c:pt>
                <c:pt idx="53">
                  <c:v>0.11251763361691523</c:v>
                </c:pt>
                <c:pt idx="54">
                  <c:v>0.11251763361691523</c:v>
                </c:pt>
                <c:pt idx="55">
                  <c:v>0.11251763361691523</c:v>
                </c:pt>
                <c:pt idx="56">
                  <c:v>0.11251763361691523</c:v>
                </c:pt>
                <c:pt idx="57">
                  <c:v>0.11251763361691523</c:v>
                </c:pt>
                <c:pt idx="58">
                  <c:v>0.11251763361691523</c:v>
                </c:pt>
                <c:pt idx="59">
                  <c:v>0.11251763361691523</c:v>
                </c:pt>
                <c:pt idx="60">
                  <c:v>0.11251763361691523</c:v>
                </c:pt>
                <c:pt idx="61">
                  <c:v>0.11251763361691523</c:v>
                </c:pt>
                <c:pt idx="62">
                  <c:v>0.11251763361691523</c:v>
                </c:pt>
                <c:pt idx="63">
                  <c:v>0.11251763361691523</c:v>
                </c:pt>
                <c:pt idx="64">
                  <c:v>0.11251763361691523</c:v>
                </c:pt>
                <c:pt idx="65">
                  <c:v>0.11251763361691523</c:v>
                </c:pt>
                <c:pt idx="66">
                  <c:v>0.11251763361691523</c:v>
                </c:pt>
                <c:pt idx="67">
                  <c:v>0.11251763361691523</c:v>
                </c:pt>
                <c:pt idx="68">
                  <c:v>0.11251763361691523</c:v>
                </c:pt>
                <c:pt idx="69">
                  <c:v>0.11251763361691523</c:v>
                </c:pt>
                <c:pt idx="70">
                  <c:v>0.11251763361691523</c:v>
                </c:pt>
                <c:pt idx="71">
                  <c:v>0.11251763361691523</c:v>
                </c:pt>
                <c:pt idx="72">
                  <c:v>0.11251763361691523</c:v>
                </c:pt>
                <c:pt idx="73">
                  <c:v>0.11251763361691523</c:v>
                </c:pt>
                <c:pt idx="74">
                  <c:v>0.11251763361691523</c:v>
                </c:pt>
                <c:pt idx="75">
                  <c:v>0.11251763361691523</c:v>
                </c:pt>
                <c:pt idx="76">
                  <c:v>0.11251763361691523</c:v>
                </c:pt>
                <c:pt idx="77">
                  <c:v>0.11251763361691523</c:v>
                </c:pt>
                <c:pt idx="78">
                  <c:v>0.11251763361691523</c:v>
                </c:pt>
                <c:pt idx="79">
                  <c:v>0.11251763361691523</c:v>
                </c:pt>
                <c:pt idx="80">
                  <c:v>0.11251763361691523</c:v>
                </c:pt>
                <c:pt idx="81">
                  <c:v>0.11251763361691523</c:v>
                </c:pt>
                <c:pt idx="82">
                  <c:v>0.11251763361691523</c:v>
                </c:pt>
                <c:pt idx="83">
                  <c:v>0.11251763361691523</c:v>
                </c:pt>
                <c:pt idx="84">
                  <c:v>0.11251763361691523</c:v>
                </c:pt>
                <c:pt idx="85">
                  <c:v>0.11251763361691523</c:v>
                </c:pt>
                <c:pt idx="86">
                  <c:v>0.11251763361691523</c:v>
                </c:pt>
                <c:pt idx="87">
                  <c:v>0.11251763361691523</c:v>
                </c:pt>
                <c:pt idx="88">
                  <c:v>0.12989839111741341</c:v>
                </c:pt>
                <c:pt idx="89">
                  <c:v>0.18345020298027853</c:v>
                </c:pt>
                <c:pt idx="90">
                  <c:v>0.24352992893243114</c:v>
                </c:pt>
                <c:pt idx="91">
                  <c:v>0.29476531108727944</c:v>
                </c:pt>
                <c:pt idx="92">
                  <c:v>0.30075120496939273</c:v>
                </c:pt>
                <c:pt idx="93">
                  <c:v>0.42985705117606615</c:v>
                </c:pt>
                <c:pt idx="94">
                  <c:v>0.4639996399130264</c:v>
                </c:pt>
                <c:pt idx="95">
                  <c:v>0.56700924153944876</c:v>
                </c:pt>
                <c:pt idx="96">
                  <c:v>0.73168562191051834</c:v>
                </c:pt>
                <c:pt idx="97">
                  <c:v>0.88595126662509416</c:v>
                </c:pt>
                <c:pt idx="98">
                  <c:v>0.91590232900606083</c:v>
                </c:pt>
                <c:pt idx="99">
                  <c:v>0.97103850865563435</c:v>
                </c:pt>
              </c:numCache>
            </c:numRef>
          </c:yVal>
          <c:smooth val="1"/>
          <c:extLst>
            <c:ext xmlns:c16="http://schemas.microsoft.com/office/drawing/2014/chart" uri="{C3380CC4-5D6E-409C-BE32-E72D297353CC}">
              <c16:uniqueId val="{00000000-D656-4AA7-8748-BBF55D18FEAF}"/>
            </c:ext>
          </c:extLst>
        </c:ser>
        <c:ser>
          <c:idx val="1"/>
          <c:order val="1"/>
          <c:tx>
            <c:v>Einzelwerte und Gesamtverlauf bereinigt (VN 95%)</c:v>
          </c:tx>
          <c:spPr>
            <a:ln w="9525" cap="rnd">
              <a:solidFill>
                <a:srgbClr val="FF0000"/>
              </a:solidFill>
              <a:round/>
            </a:ln>
            <a:effectLst/>
          </c:spPr>
          <c:marker>
            <c:symbol val="circle"/>
            <c:size val="5"/>
            <c:spPr>
              <a:solidFill>
                <a:schemeClr val="accent2"/>
              </a:solidFill>
              <a:ln w="9525">
                <a:solidFill>
                  <a:srgbClr val="FF0000"/>
                </a:solidFill>
              </a:ln>
              <a:effectLst/>
            </c:spPr>
          </c:marker>
          <c:xVal>
            <c:numRef>
              <c:f>' GRAFIKEN UND ABFRAGEN'!$F$9:$F$108</c:f>
              <c:numCache>
                <c:formatCode>General</c:formatCode>
                <c:ptCount val="100"/>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pt idx="42">
                  <c:v>-20000</c:v>
                </c:pt>
                <c:pt idx="43">
                  <c:v>-20000</c:v>
                </c:pt>
                <c:pt idx="44">
                  <c:v>-20000</c:v>
                </c:pt>
                <c:pt idx="45">
                  <c:v>-20000</c:v>
                </c:pt>
                <c:pt idx="46">
                  <c:v>-20000</c:v>
                </c:pt>
                <c:pt idx="47">
                  <c:v>-20000</c:v>
                </c:pt>
                <c:pt idx="48">
                  <c:v>-20000</c:v>
                </c:pt>
                <c:pt idx="49">
                  <c:v>-20000</c:v>
                </c:pt>
                <c:pt idx="50">
                  <c:v>-20000</c:v>
                </c:pt>
                <c:pt idx="51">
                  <c:v>-20000</c:v>
                </c:pt>
                <c:pt idx="52">
                  <c:v>-20000</c:v>
                </c:pt>
                <c:pt idx="53">
                  <c:v>-20000</c:v>
                </c:pt>
                <c:pt idx="54">
                  <c:v>-20000</c:v>
                </c:pt>
                <c:pt idx="55">
                  <c:v>-20000</c:v>
                </c:pt>
                <c:pt idx="56">
                  <c:v>-20000</c:v>
                </c:pt>
                <c:pt idx="57">
                  <c:v>-20000</c:v>
                </c:pt>
                <c:pt idx="58">
                  <c:v>-20000</c:v>
                </c:pt>
                <c:pt idx="59">
                  <c:v>-20000</c:v>
                </c:pt>
                <c:pt idx="60">
                  <c:v>-20000</c:v>
                </c:pt>
                <c:pt idx="61">
                  <c:v>-20000</c:v>
                </c:pt>
                <c:pt idx="62">
                  <c:v>-20000</c:v>
                </c:pt>
                <c:pt idx="63">
                  <c:v>-20000</c:v>
                </c:pt>
                <c:pt idx="64">
                  <c:v>-20000</c:v>
                </c:pt>
                <c:pt idx="65">
                  <c:v>-20000</c:v>
                </c:pt>
                <c:pt idx="66">
                  <c:v>-20000</c:v>
                </c:pt>
                <c:pt idx="67">
                  <c:v>-20000</c:v>
                </c:pt>
                <c:pt idx="68">
                  <c:v>-20000</c:v>
                </c:pt>
                <c:pt idx="69">
                  <c:v>-20000</c:v>
                </c:pt>
                <c:pt idx="70">
                  <c:v>-20000</c:v>
                </c:pt>
                <c:pt idx="71">
                  <c:v>-20000</c:v>
                </c:pt>
                <c:pt idx="72">
                  <c:v>-20000</c:v>
                </c:pt>
                <c:pt idx="73">
                  <c:v>-20000</c:v>
                </c:pt>
                <c:pt idx="74">
                  <c:v>-20000</c:v>
                </c:pt>
                <c:pt idx="75">
                  <c:v>-20000</c:v>
                </c:pt>
                <c:pt idx="76">
                  <c:v>-20000</c:v>
                </c:pt>
                <c:pt idx="77">
                  <c:v>-20000</c:v>
                </c:pt>
                <c:pt idx="78">
                  <c:v>-20000</c:v>
                </c:pt>
                <c:pt idx="79">
                  <c:v>-20000</c:v>
                </c:pt>
                <c:pt idx="80">
                  <c:v>-20000</c:v>
                </c:pt>
                <c:pt idx="81">
                  <c:v>-20000</c:v>
                </c:pt>
                <c:pt idx="82">
                  <c:v>-20000</c:v>
                </c:pt>
                <c:pt idx="83">
                  <c:v>-20000</c:v>
                </c:pt>
                <c:pt idx="84">
                  <c:v>-20000</c:v>
                </c:pt>
                <c:pt idx="85">
                  <c:v>-20000</c:v>
                </c:pt>
                <c:pt idx="86">
                  <c:v>-20000</c:v>
                </c:pt>
                <c:pt idx="87">
                  <c:v>-20000</c:v>
                </c:pt>
                <c:pt idx="88">
                  <c:v>-19500</c:v>
                </c:pt>
                <c:pt idx="89">
                  <c:v>-18200</c:v>
                </c:pt>
                <c:pt idx="90">
                  <c:v>-17000</c:v>
                </c:pt>
                <c:pt idx="91">
                  <c:v>-16100</c:v>
                </c:pt>
                <c:pt idx="92">
                  <c:v>-16000</c:v>
                </c:pt>
                <c:pt idx="93">
                  <c:v>-14000</c:v>
                </c:pt>
                <c:pt idx="94">
                  <c:v>-13500</c:v>
                </c:pt>
                <c:pt idx="95">
                  <c:v>-12000</c:v>
                </c:pt>
                <c:pt idx="96">
                  <c:v>-9400</c:v>
                </c:pt>
                <c:pt idx="97">
                  <c:v>-6000</c:v>
                </c:pt>
                <c:pt idx="98">
                  <c:v>-5000</c:v>
                </c:pt>
                <c:pt idx="99">
                  <c:v>-2000</c:v>
                </c:pt>
              </c:numCache>
            </c:numRef>
          </c:xVal>
          <c:yVal>
            <c:numRef>
              <c:f>' GRAFIKEN UND ABFRAGEN'!$H$9:$H$108</c:f>
              <c:numCache>
                <c:formatCode>General</c:formatCode>
                <c:ptCount val="100"/>
                <c:pt idx="0">
                  <c:v>0.10731709395383104</c:v>
                </c:pt>
                <c:pt idx="1">
                  <c:v>0.10731709395383104</c:v>
                </c:pt>
                <c:pt idx="2">
                  <c:v>0.10731709395383104</c:v>
                </c:pt>
                <c:pt idx="3">
                  <c:v>0.10731709395383104</c:v>
                </c:pt>
                <c:pt idx="4">
                  <c:v>0.10731709395383104</c:v>
                </c:pt>
                <c:pt idx="5">
                  <c:v>0.10731709395383104</c:v>
                </c:pt>
                <c:pt idx="6">
                  <c:v>0.10731709395383104</c:v>
                </c:pt>
                <c:pt idx="7">
                  <c:v>0.10731709395383104</c:v>
                </c:pt>
                <c:pt idx="8">
                  <c:v>0.10731709395383104</c:v>
                </c:pt>
                <c:pt idx="9">
                  <c:v>0.10731709395383104</c:v>
                </c:pt>
                <c:pt idx="10">
                  <c:v>0.10731709395383104</c:v>
                </c:pt>
                <c:pt idx="11">
                  <c:v>0.10731709395383104</c:v>
                </c:pt>
                <c:pt idx="12">
                  <c:v>0.10731709395383104</c:v>
                </c:pt>
                <c:pt idx="13">
                  <c:v>0.10731709395383104</c:v>
                </c:pt>
                <c:pt idx="14">
                  <c:v>0.10731709395383104</c:v>
                </c:pt>
                <c:pt idx="15">
                  <c:v>0.10731709395383104</c:v>
                </c:pt>
                <c:pt idx="16">
                  <c:v>0.10731709395383104</c:v>
                </c:pt>
                <c:pt idx="17">
                  <c:v>0.10731709395383104</c:v>
                </c:pt>
                <c:pt idx="18">
                  <c:v>0.10731709395383104</c:v>
                </c:pt>
                <c:pt idx="19">
                  <c:v>0.10731709395383104</c:v>
                </c:pt>
                <c:pt idx="20">
                  <c:v>0.10731709395383104</c:v>
                </c:pt>
                <c:pt idx="21">
                  <c:v>0.10731709395383104</c:v>
                </c:pt>
                <c:pt idx="22">
                  <c:v>0.10731709395383104</c:v>
                </c:pt>
                <c:pt idx="23">
                  <c:v>0.10731709395383104</c:v>
                </c:pt>
                <c:pt idx="24">
                  <c:v>0.10731709395383104</c:v>
                </c:pt>
                <c:pt idx="25">
                  <c:v>0.10731709395383104</c:v>
                </c:pt>
                <c:pt idx="26">
                  <c:v>0.10731709395383104</c:v>
                </c:pt>
                <c:pt idx="27">
                  <c:v>0.10731709395383104</c:v>
                </c:pt>
                <c:pt idx="28">
                  <c:v>0.10731709395383104</c:v>
                </c:pt>
                <c:pt idx="29">
                  <c:v>0.10731709395383104</c:v>
                </c:pt>
                <c:pt idx="30">
                  <c:v>0.10731709395383104</c:v>
                </c:pt>
                <c:pt idx="31">
                  <c:v>0.10731709395383104</c:v>
                </c:pt>
                <c:pt idx="32">
                  <c:v>0.10731709395383104</c:v>
                </c:pt>
                <c:pt idx="33">
                  <c:v>0.10731709395383104</c:v>
                </c:pt>
                <c:pt idx="34">
                  <c:v>0.10731709395383104</c:v>
                </c:pt>
                <c:pt idx="35">
                  <c:v>0.10731709395383104</c:v>
                </c:pt>
                <c:pt idx="36">
                  <c:v>0.10731709395383104</c:v>
                </c:pt>
                <c:pt idx="37">
                  <c:v>0.10731709395383104</c:v>
                </c:pt>
                <c:pt idx="38">
                  <c:v>0.10731709395383104</c:v>
                </c:pt>
                <c:pt idx="39">
                  <c:v>0.10731709395383104</c:v>
                </c:pt>
                <c:pt idx="40">
                  <c:v>0.10731709395383104</c:v>
                </c:pt>
                <c:pt idx="41">
                  <c:v>0.10731709395383104</c:v>
                </c:pt>
                <c:pt idx="42">
                  <c:v>0.10731709395383104</c:v>
                </c:pt>
                <c:pt idx="43">
                  <c:v>0.10731709395383104</c:v>
                </c:pt>
                <c:pt idx="44">
                  <c:v>0.10731709395383104</c:v>
                </c:pt>
                <c:pt idx="45">
                  <c:v>0.10731709395383104</c:v>
                </c:pt>
                <c:pt idx="46">
                  <c:v>0.10731709395383104</c:v>
                </c:pt>
                <c:pt idx="47">
                  <c:v>0.10731709395383104</c:v>
                </c:pt>
                <c:pt idx="48">
                  <c:v>0.10731709395383104</c:v>
                </c:pt>
                <c:pt idx="49">
                  <c:v>0.10731709395383104</c:v>
                </c:pt>
                <c:pt idx="50">
                  <c:v>0.10731709395383104</c:v>
                </c:pt>
                <c:pt idx="51">
                  <c:v>0.10731709395383104</c:v>
                </c:pt>
                <c:pt idx="52">
                  <c:v>0.10731709395383104</c:v>
                </c:pt>
                <c:pt idx="53">
                  <c:v>0.10731709395383104</c:v>
                </c:pt>
                <c:pt idx="54">
                  <c:v>0.10731709395383104</c:v>
                </c:pt>
                <c:pt idx="55">
                  <c:v>0.10731709395383104</c:v>
                </c:pt>
                <c:pt idx="56">
                  <c:v>0.10731709395383104</c:v>
                </c:pt>
                <c:pt idx="57">
                  <c:v>0.10731709395383104</c:v>
                </c:pt>
                <c:pt idx="58">
                  <c:v>0.10731709395383104</c:v>
                </c:pt>
                <c:pt idx="59">
                  <c:v>0.10731709395383104</c:v>
                </c:pt>
                <c:pt idx="60">
                  <c:v>0.10731709395383104</c:v>
                </c:pt>
                <c:pt idx="61">
                  <c:v>0.10731709395383104</c:v>
                </c:pt>
                <c:pt idx="62">
                  <c:v>0.10731709395383104</c:v>
                </c:pt>
                <c:pt idx="63">
                  <c:v>0.10731709395383104</c:v>
                </c:pt>
                <c:pt idx="64">
                  <c:v>0.10731709395383104</c:v>
                </c:pt>
                <c:pt idx="65">
                  <c:v>0.10731709395383104</c:v>
                </c:pt>
                <c:pt idx="66">
                  <c:v>0.10731709395383104</c:v>
                </c:pt>
                <c:pt idx="67">
                  <c:v>0.10731709395383104</c:v>
                </c:pt>
                <c:pt idx="68">
                  <c:v>0.10731709395383104</c:v>
                </c:pt>
                <c:pt idx="69">
                  <c:v>0.10731709395383104</c:v>
                </c:pt>
                <c:pt idx="70">
                  <c:v>0.10731709395383104</c:v>
                </c:pt>
                <c:pt idx="71">
                  <c:v>0.10731709395383104</c:v>
                </c:pt>
                <c:pt idx="72">
                  <c:v>0.10731709395383104</c:v>
                </c:pt>
                <c:pt idx="73">
                  <c:v>0.10731709395383104</c:v>
                </c:pt>
                <c:pt idx="74">
                  <c:v>0.10731709395383104</c:v>
                </c:pt>
                <c:pt idx="75">
                  <c:v>0.10731709395383104</c:v>
                </c:pt>
                <c:pt idx="76">
                  <c:v>0.10731709395383104</c:v>
                </c:pt>
                <c:pt idx="77">
                  <c:v>0.10731709395383104</c:v>
                </c:pt>
                <c:pt idx="78">
                  <c:v>0.10731709395383104</c:v>
                </c:pt>
                <c:pt idx="79">
                  <c:v>0.10731709395383104</c:v>
                </c:pt>
                <c:pt idx="80">
                  <c:v>0.10731709395383104</c:v>
                </c:pt>
                <c:pt idx="81">
                  <c:v>0.10731709395383104</c:v>
                </c:pt>
                <c:pt idx="82">
                  <c:v>0.10731709395383104</c:v>
                </c:pt>
                <c:pt idx="83">
                  <c:v>0.10731709395383104</c:v>
                </c:pt>
                <c:pt idx="84">
                  <c:v>0.10731709395383104</c:v>
                </c:pt>
                <c:pt idx="85">
                  <c:v>0.10731709395383104</c:v>
                </c:pt>
                <c:pt idx="86">
                  <c:v>0.10731709395383104</c:v>
                </c:pt>
                <c:pt idx="87">
                  <c:v>0.10731709395383104</c:v>
                </c:pt>
                <c:pt idx="88">
                  <c:v>0.11935563733152801</c:v>
                </c:pt>
                <c:pt idx="89">
                  <c:v>0.15501220836466265</c:v>
                </c:pt>
                <c:pt idx="90">
                  <c:v>0.19361015621606301</c:v>
                </c:pt>
                <c:pt idx="91">
                  <c:v>0.22608771240358044</c:v>
                </c:pt>
                <c:pt idx="92">
                  <c:v>0.22987717061672108</c:v>
                </c:pt>
                <c:pt idx="93">
                  <c:v>0.31262773903192698</c:v>
                </c:pt>
                <c:pt idx="94">
                  <c:v>0.33516079942458799</c:v>
                </c:pt>
                <c:pt idx="95">
                  <c:v>0.40610350031998754</c:v>
                </c:pt>
                <c:pt idx="96">
                  <c:v>0.53526302613783394</c:v>
                </c:pt>
                <c:pt idx="97">
                  <c:v>0.69669818385754889</c:v>
                </c:pt>
                <c:pt idx="98">
                  <c:v>0.73902598795480856</c:v>
                </c:pt>
                <c:pt idx="99">
                  <c:v>0.84532792561925518</c:v>
                </c:pt>
              </c:numCache>
            </c:numRef>
          </c:yVal>
          <c:smooth val="1"/>
          <c:extLst>
            <c:ext xmlns:c16="http://schemas.microsoft.com/office/drawing/2014/chart" uri="{C3380CC4-5D6E-409C-BE32-E72D297353CC}">
              <c16:uniqueId val="{00000001-D656-4AA7-8748-BBF55D18FEAF}"/>
            </c:ext>
          </c:extLst>
        </c:ser>
        <c:dLbls>
          <c:showLegendKey val="0"/>
          <c:showVal val="0"/>
          <c:showCatName val="0"/>
          <c:showSerName val="0"/>
          <c:showPercent val="0"/>
          <c:showBubbleSize val="0"/>
        </c:dLbls>
        <c:axId val="584737864"/>
        <c:axId val="584741472"/>
      </c:scatterChart>
      <c:valAx>
        <c:axId val="584737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sz="1200"/>
                  <a:t>Sortierte</a:t>
                </a:r>
                <a:r>
                  <a:rPr lang="de-CH" sz="1200" baseline="0"/>
                  <a:t> Einzelwerte</a:t>
                </a:r>
              </a:p>
              <a:p>
                <a:pPr>
                  <a:defRPr/>
                </a:pPr>
                <a:r>
                  <a:rPr lang="de-CH" sz="1400" baseline="0"/>
                  <a:t> </a:t>
                </a:r>
                <a:r>
                  <a:rPr lang="de-CH" sz="1000" baseline="0">
                    <a:solidFill>
                      <a:schemeClr val="accent5">
                        <a:lumMod val="75000"/>
                      </a:schemeClr>
                    </a:solidFill>
                  </a:rPr>
                  <a:t>wenn Zelle Q6 = 1, sind Realwerte = Achswerte</a:t>
                </a:r>
              </a:p>
              <a:p>
                <a:pPr>
                  <a:defRPr/>
                </a:pPr>
                <a:r>
                  <a:rPr lang="de-CH" sz="1000" baseline="0">
                    <a:solidFill>
                      <a:schemeClr val="accent5">
                        <a:lumMod val="75000"/>
                      </a:schemeClr>
                    </a:solidFill>
                  </a:rPr>
                  <a:t>wenn Zelle Q6 = 2, sind Realwerte = Achswerte*(-1) </a:t>
                </a:r>
                <a:r>
                  <a:rPr lang="de-CH" sz="1000" baseline="0"/>
                  <a:t>  </a:t>
                </a:r>
                <a:endParaRPr lang="de-CH" sz="1000"/>
              </a:p>
            </c:rich>
          </c:tx>
          <c:layout>
            <c:manualLayout>
              <c:xMode val="edge"/>
              <c:yMode val="edge"/>
              <c:x val="0.29782760212414566"/>
              <c:y val="0.7565979410070667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4741472"/>
        <c:crosses val="autoZero"/>
        <c:crossBetween val="midCat"/>
      </c:valAx>
      <c:valAx>
        <c:axId val="58474147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FF0000"/>
                    </a:solidFill>
                    <a:latin typeface="+mn-lt"/>
                    <a:ea typeface="+mn-ea"/>
                    <a:cs typeface="+mn-cs"/>
                  </a:defRPr>
                </a:pPr>
                <a:r>
                  <a:rPr lang="de-CH" sz="1000" baseline="0">
                    <a:solidFill>
                      <a:srgbClr val="FF0000"/>
                    </a:solidFill>
                  </a:rPr>
                  <a:t>  </a:t>
                </a:r>
                <a:r>
                  <a:rPr lang="de-CH" sz="1200" baseline="0">
                    <a:solidFill>
                      <a:srgbClr val="FF0000"/>
                    </a:solidFill>
                  </a:rPr>
                  <a:t>Häufigkeiten [%/100]</a:t>
                </a:r>
              </a:p>
              <a:p>
                <a:pPr>
                  <a:defRPr>
                    <a:solidFill>
                      <a:srgbClr val="FF0000"/>
                    </a:solidFill>
                  </a:defRPr>
                </a:pPr>
                <a:r>
                  <a:rPr lang="de-CH" sz="1000" baseline="0">
                    <a:solidFill>
                      <a:srgbClr val="FF0000"/>
                    </a:solidFill>
                  </a:rPr>
                  <a:t>                                                                                                                                                                                                                                         </a:t>
                </a:r>
              </a:p>
            </c:rich>
          </c:tx>
          <c:layout>
            <c:manualLayout>
              <c:xMode val="edge"/>
              <c:yMode val="edge"/>
              <c:x val="3.6316518908723047E-2"/>
              <c:y val="0.332225577339432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FF0000"/>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4737864"/>
        <c:crosses val="autoZero"/>
        <c:crossBetween val="midCat"/>
      </c:valAx>
      <c:spPr>
        <a:noFill/>
        <a:ln>
          <a:noFill/>
        </a:ln>
        <a:effectLst/>
      </c:spPr>
    </c:plotArea>
    <c:legend>
      <c:legendPos val="b"/>
      <c:layout>
        <c:manualLayout>
          <c:xMode val="edge"/>
          <c:yMode val="edge"/>
          <c:x val="0.1037589252517116"/>
          <c:y val="0.88055964370267581"/>
          <c:w val="0.8198216104747944"/>
          <c:h val="0.117946901164577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horizontalDpi="-3" verticalDpi="-3"/>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7620</xdr:rowOff>
    </xdr:from>
    <xdr:ext cx="5433060" cy="9090660"/>
    <xdr:sp macro="" textlink="">
      <xdr:nvSpPr>
        <xdr:cNvPr id="2" name="Textfeld 1">
          <a:extLst>
            <a:ext uri="{FF2B5EF4-FFF2-40B4-BE49-F238E27FC236}">
              <a16:creationId xmlns:a16="http://schemas.microsoft.com/office/drawing/2014/main" id="{D6D41177-B042-4B38-9767-FE1DE0AB8BFE}"/>
            </a:ext>
          </a:extLst>
        </xdr:cNvPr>
        <xdr:cNvSpPr txBox="1"/>
      </xdr:nvSpPr>
      <xdr:spPr>
        <a:xfrm>
          <a:off x="114300" y="7620"/>
          <a:ext cx="5433060" cy="909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200" b="1"/>
            <a:t>MODELLIERTE WAHRSCHEINLICHKEITEN AUS STICHPROBEN</a:t>
          </a:r>
        </a:p>
        <a:p>
          <a:r>
            <a:rPr lang="de-CH" sz="1200" b="1"/>
            <a:t>Thema</a:t>
          </a:r>
        </a:p>
        <a:p>
          <a:r>
            <a:rPr lang="de-CH" sz="1200"/>
            <a:t>Beim Würfel oder beim Roulette ist der Zusammenhang bekannt: Es herrscht absolute Chancengleichheit für jede der einzelnen Würfelseiten oder Roulettekugeln. Auch wenn eine Stichprobe durch «ziehen und zurücklegen» einen nur sehr kleinen Umfang aufweisen und sehr ungleichmässig ausfallen sollte, ist doch ohne Zweifel klar, dass bei hinreichender Wiederholung und Aufsummierung der Ergebnisse sich irgendwann praktische Gleichheit der Häufigkeiten unter den «konkurrierenden» Werten einstellen wird.</a:t>
          </a:r>
        </a:p>
        <a:p>
          <a:r>
            <a:rPr lang="de-CH" sz="1200"/>
            <a:t> </a:t>
          </a:r>
        </a:p>
        <a:p>
          <a:r>
            <a:rPr lang="de-CH" sz="1200"/>
            <a:t>Bei kontinuierlichen Verteilungen hingegen, welche innerhalb einer spezifischen Bandbreite jeden Wert annehmen können, liegt kaum je Gleichverteilung, sondern oft</a:t>
          </a:r>
          <a:r>
            <a:rPr lang="de-CH" sz="1200" baseline="0"/>
            <a:t> </a:t>
          </a:r>
          <a:r>
            <a:rPr lang="de-CH" sz="1200"/>
            <a:t>«eine Form» von Normalverteilung vor. Soll hier anhand einer Stichprobe aus wenigen Einzelwerten «aufs Ganze» geschlossen und eine Aussage über dessen Verteilung</a:t>
          </a:r>
          <a:r>
            <a:rPr lang="de-CH" sz="1200" baseline="0"/>
            <a:t> </a:t>
          </a:r>
          <a:r>
            <a:rPr lang="de-CH" sz="1200"/>
            <a:t>gemacht werden, ist dies mit Unsicherheit verbunden. </a:t>
          </a:r>
        </a:p>
        <a:p>
          <a:r>
            <a:rPr lang="de-CH" sz="1200"/>
            <a:t>Induktive Verfahren der Statistik ermöglichen es immerhin, entsprechende Aussagen unter Vorbehalt eines festzulegenden Wahrheitsgehaltes von in der Regel 95% zu machen. Der praktische Wert dieser Möglichkeit ist von grosser Bedeutung, zum Beispiel in der Materialprüfung, bei demoskopischen Erhebungen oder bei betriebswirtschaftlichen Fragestellungen.</a:t>
          </a:r>
        </a:p>
        <a:p>
          <a:endParaRPr lang="de-CH" sz="1100"/>
        </a:p>
        <a:p>
          <a:r>
            <a:rPr lang="de-CH" sz="1200" b="1"/>
            <a:t>Modellierte Wahrscheinlichkeiten</a:t>
          </a:r>
        </a:p>
        <a:p>
          <a:r>
            <a:rPr lang="de-CH" sz="1200"/>
            <a:t>Es wird ein Modell zur Nachweisführung unter Verwendung der Excel – Datei «Norm.vert» entworfen, das auf den folgenden Erwägungen und Festlegungen basiert.</a:t>
          </a:r>
        </a:p>
        <a:p>
          <a:r>
            <a:rPr lang="de-CH" sz="1200"/>
            <a:t> </a:t>
          </a:r>
        </a:p>
        <a:p>
          <a:r>
            <a:rPr lang="de-CH" sz="1200" b="1"/>
            <a:t>Modell und Grafik aus unbereinigter Stichprobe</a:t>
          </a:r>
        </a:p>
        <a:p>
          <a:r>
            <a:rPr lang="de-CH" sz="1200"/>
            <a:t>Bestünde das Datenmaterial aus einer sehr grossen Stichprobe, könnte vorausgesetzt werden, die Verteilung und damit die Häufigkeit der Einzelwerte entspreche</a:t>
          </a:r>
          <a:r>
            <a:rPr lang="de-CH" sz="1200" baseline="0"/>
            <a:t> </a:t>
          </a:r>
          <a:r>
            <a:rPr lang="de-CH" sz="1200"/>
            <a:t>angenähert auch jener einer noch viel grösseren «Gesamtheit». Das Verfahren mittels «Excel Norm.vert» könnte dann direkt wie folgt angewandt werden:</a:t>
          </a:r>
        </a:p>
        <a:p>
          <a:endParaRPr lang="de-CH" sz="1200"/>
        </a:p>
        <a:p>
          <a:r>
            <a:rPr lang="de-CH" sz="1200"/>
            <a:t>- Eintrag der Einzelwerte in eine Excel - Tabelle</a:t>
          </a:r>
        </a:p>
        <a:p>
          <a:r>
            <a:rPr lang="de-CH" sz="1200"/>
            <a:t>- Überprüfung der Zahlenreihe auf «Gauss-Kompatibilität», z. B.</a:t>
          </a:r>
          <a:r>
            <a:rPr lang="de-CH" sz="1200" baseline="0"/>
            <a:t> «</a:t>
          </a:r>
          <a:r>
            <a:rPr lang="de-CH" sz="1200"/>
            <a:t>Verfahren Grubbs»</a:t>
          </a:r>
        </a:p>
        <a:p>
          <a:r>
            <a:rPr lang="de-CH" sz="1200"/>
            <a:t>- Ansteigende Sortierung der Einzelwerte mit Mittelwert und Standardabweichung</a:t>
          </a:r>
        </a:p>
        <a:p>
          <a:r>
            <a:rPr lang="de-CH" sz="1200"/>
            <a:t>- Generierung der realen Normverteilung für die Stichprobe mittels  «</a:t>
          </a:r>
          <a:r>
            <a:rPr lang="de-CH" sz="1200" baseline="0"/>
            <a:t>N</a:t>
          </a:r>
          <a:r>
            <a:rPr lang="de-CH" sz="1200"/>
            <a:t>orm.vert»,</a:t>
          </a:r>
        </a:p>
        <a:p>
          <a:r>
            <a:rPr lang="de-CH" sz="1200"/>
            <a:t>  basierend auf dem Mittelwert und der empirischen</a:t>
          </a:r>
          <a:r>
            <a:rPr lang="de-CH" sz="1200" baseline="0"/>
            <a:t> Standardabweichung der </a:t>
          </a:r>
        </a:p>
        <a:p>
          <a:r>
            <a:rPr lang="de-CH" sz="1200" baseline="0"/>
            <a:t>  Einzelwerte.</a:t>
          </a:r>
          <a:endParaRPr lang="de-CH" sz="1200"/>
        </a:p>
        <a:p>
          <a:r>
            <a:rPr lang="de-CH" sz="1200"/>
            <a:t>- Erstellen der Summenhäufigkeitsgrafik mittels</a:t>
          </a:r>
          <a:r>
            <a:rPr lang="de-CH" sz="1200" baseline="0"/>
            <a:t> Excel X-Y - Diagramm.</a:t>
          </a:r>
          <a:r>
            <a:rPr lang="de-CH" sz="1200"/>
            <a:t> </a:t>
          </a:r>
        </a:p>
        <a:p>
          <a:endParaRPr lang="de-CH" sz="1200"/>
        </a:p>
        <a:p>
          <a:r>
            <a:rPr lang="de-CH" sz="1200"/>
            <a:t>Da in dieser Grafik bzw. Berechnung die Stichprobengrösse nicht berücksichtigt ist, führt dies zu einer </a:t>
          </a:r>
          <a:r>
            <a:rPr lang="de-CH" sz="1200" u="sng"/>
            <a:t>unzutreffenden Wahrscheinlichkeitsverteilung</a:t>
          </a:r>
          <a:r>
            <a:rPr lang="de-CH" sz="1200" u="none" baseline="0"/>
            <a:t> </a:t>
          </a:r>
          <a:r>
            <a:rPr lang="de-CH" sz="1200" u="none"/>
            <a:t>für das «prognostizierte Ganze». </a:t>
          </a:r>
          <a:r>
            <a:rPr lang="de-CH" sz="1200"/>
            <a:t>Der Fehler</a:t>
          </a:r>
          <a:r>
            <a:rPr lang="de-CH" sz="1200" baseline="0"/>
            <a:t> </a:t>
          </a:r>
          <a:r>
            <a:rPr lang="de-CH" sz="1200"/>
            <a:t>gegenüber der mutmasslich richtigen Verteilung ist umso grösser, je kleiner die (unberücksichtigte) Stichprobengrösse ist.</a:t>
          </a:r>
        </a:p>
        <a:p>
          <a:endParaRPr lang="de-CH" sz="1200"/>
        </a:p>
      </xdr:txBody>
    </xdr:sp>
    <xdr:clientData/>
  </xdr:oneCellAnchor>
  <xdr:oneCellAnchor>
    <xdr:from>
      <xdr:col>7</xdr:col>
      <xdr:colOff>0</xdr:colOff>
      <xdr:row>0</xdr:row>
      <xdr:rowOff>53340</xdr:rowOff>
    </xdr:from>
    <xdr:ext cx="5219700" cy="9090660"/>
    <xdr:sp macro="" textlink="">
      <xdr:nvSpPr>
        <xdr:cNvPr id="3" name="Textfeld 2">
          <a:extLst>
            <a:ext uri="{FF2B5EF4-FFF2-40B4-BE49-F238E27FC236}">
              <a16:creationId xmlns:a16="http://schemas.microsoft.com/office/drawing/2014/main" id="{B328D64D-D197-4BD8-B7A9-0D8174E14FC6}"/>
            </a:ext>
          </a:extLst>
        </xdr:cNvPr>
        <xdr:cNvSpPr txBox="1"/>
      </xdr:nvSpPr>
      <xdr:spPr>
        <a:xfrm>
          <a:off x="5547360" y="53340"/>
          <a:ext cx="5219700" cy="909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200" b="1"/>
            <a:t>Modell und Grafik aus bereinigter Stichprobe</a:t>
          </a:r>
        </a:p>
        <a:p>
          <a:r>
            <a:rPr lang="de-CH" sz="1200"/>
            <a:t>Da es sich beim hier gezeigten (und gespeicherten) Beispiel um eine Stichprobe von nur</a:t>
          </a:r>
          <a:r>
            <a:rPr lang="de-CH" sz="1200" baseline="0"/>
            <a:t> </a:t>
          </a:r>
          <a:r>
            <a:rPr lang="de-CH" sz="1200"/>
            <a:t>13 Einzelwerten handelt, muss zur Darstellung der mutmasslichen Summenhäufigkeitsverteilung einer «Gesamtheit» die Gabelung (Range) der Stichprobe «gestreckt» werden.</a:t>
          </a:r>
        </a:p>
        <a:p>
          <a:r>
            <a:rPr lang="de-CH" sz="1200"/>
            <a:t>Dies erfolgt mithilfe der einseitigen Toleranzkoeffizienten, im Zahlenbeispiel: [k3(0.999; n = 13)]; [k3(0.500; n =13)] und [k3(0.999; n = ∞)]. Die exakten Werte können ISO 16269-6 für das Vertrauensniveau 95% entnommen werden. Im vorliegenden Excel – file sind die benötigten k3 – Werte aus</a:t>
          </a:r>
          <a:r>
            <a:rPr lang="de-CH" sz="1200" baseline="0"/>
            <a:t> der </a:t>
          </a:r>
          <a:r>
            <a:rPr lang="de-CH" sz="1200"/>
            <a:t>Bandbreite         [6 ≤ n  ≤ 1000] als angenäherte Funktionen direkt mit dem Rechenmodell verknüpft.</a:t>
          </a:r>
        </a:p>
        <a:p>
          <a:r>
            <a:rPr lang="de-CH" sz="1200"/>
            <a:t>Der Verzerrungsfaktor [</a:t>
          </a:r>
          <a:r>
            <a:rPr lang="el-GR" sz="1200"/>
            <a:t>κ], </a:t>
          </a:r>
          <a:r>
            <a:rPr lang="de-CH" sz="1200"/>
            <a:t>welcher durch Multiplikation mit der Standardabweichung für die Einzelwerte[sd] zu [sd+] = </a:t>
          </a:r>
          <a:r>
            <a:rPr lang="el-GR" sz="1200"/>
            <a:t>[κ]</a:t>
          </a:r>
          <a:r>
            <a:rPr lang="de-CH" sz="1200"/>
            <a:t>*[sd] führt, berechnet sich aus: </a:t>
          </a:r>
        </a:p>
        <a:p>
          <a:endParaRPr lang="de-CH" sz="1200"/>
        </a:p>
        <a:p>
          <a:r>
            <a:rPr lang="el-GR" sz="1200"/>
            <a:t>κ</a:t>
          </a:r>
          <a:r>
            <a:rPr lang="de-CH" sz="1200"/>
            <a:t> </a:t>
          </a:r>
          <a:r>
            <a:rPr lang="el-GR" sz="1200"/>
            <a:t>= {[</a:t>
          </a:r>
          <a:r>
            <a:rPr lang="de-CH" sz="1200"/>
            <a:t>k3(0.999; n =</a:t>
          </a:r>
          <a:r>
            <a:rPr lang="de-CH" sz="1200" baseline="0"/>
            <a:t> 13</a:t>
          </a:r>
          <a:r>
            <a:rPr lang="de-CH" sz="1200"/>
            <a:t>)] – [k3(0.500 ; n =</a:t>
          </a:r>
          <a:r>
            <a:rPr lang="de-CH" sz="1200" baseline="0"/>
            <a:t> 13</a:t>
          </a:r>
          <a:r>
            <a:rPr lang="de-CH" sz="1200"/>
            <a:t>]} / [k3(0.999; n = ∞)]. Ins «Excel Norm.vert» - Formular wird</a:t>
          </a:r>
          <a:r>
            <a:rPr lang="de-CH" sz="1200" baseline="0"/>
            <a:t> folglich</a:t>
          </a:r>
          <a:r>
            <a:rPr lang="de-CH" sz="1200"/>
            <a:t> für die gestreckte Standardabweichung [sd+] automatisch der Wert aus [</a:t>
          </a:r>
          <a:r>
            <a:rPr lang="el-GR" sz="1200"/>
            <a:t>κ*</a:t>
          </a:r>
          <a:r>
            <a:rPr lang="de-CH" sz="1200"/>
            <a:t>sd] übertragen.</a:t>
          </a:r>
          <a:r>
            <a:rPr lang="de-CH" sz="1200" baseline="0"/>
            <a:t> </a:t>
          </a:r>
          <a:r>
            <a:rPr lang="de-CH" sz="1200"/>
            <a:t>Ferner wird im Zahlenbeispiel als  Mittelwert für «Excel Norm.vert» automatisch der untere Grenzwert zum Konfidenzintervall, resultierend aus Xquer* = [xquer – sd*[k3(0.500; n = 13)] erfasst.</a:t>
          </a:r>
        </a:p>
        <a:p>
          <a:endParaRPr lang="de-CH" sz="1200"/>
        </a:p>
        <a:p>
          <a:r>
            <a:rPr lang="de-CH" sz="1200"/>
            <a:t>Mit dem reduzierten Mittelwert [xquer*] und der «gestreckten» Standardabweichung [sd+] berechnet  «Excel  Norm.vert» die mutmassliche Summenverteilung der «wahren»  Gesamtheit. Es sind vier Darstellungen </a:t>
          </a:r>
          <a:r>
            <a:rPr lang="de-CH" sz="1200" baseline="0"/>
            <a:t> und</a:t>
          </a:r>
          <a:r>
            <a:rPr lang="de-CH" sz="1200"/>
            <a:t> individuelle Abfragen wie folgt möglich:</a:t>
          </a:r>
        </a:p>
        <a:p>
          <a:endParaRPr lang="de-CH" sz="1200"/>
        </a:p>
        <a:p>
          <a:r>
            <a:rPr lang="de-CH" sz="1200"/>
            <a:t>- wenn Zellen (P7=1) und (Q6=1), dann folgt grösste Unterschreitungshäufigkeit </a:t>
          </a:r>
        </a:p>
        <a:p>
          <a:r>
            <a:rPr lang="de-CH" sz="1200"/>
            <a:t>- wenn Zellen</a:t>
          </a:r>
          <a:r>
            <a:rPr lang="de-CH" sz="1200" baseline="0"/>
            <a:t> (P7=2) und (Q6=1), dann folgt kleinste Unterschreitungshäufigkeit</a:t>
          </a:r>
        </a:p>
        <a:p>
          <a:r>
            <a:rPr lang="de-CH" sz="1200" baseline="0"/>
            <a:t>- wenn Zellen (P7=1) und (Q6=2), dann folgt grösste Überschreitungshäufigkeit</a:t>
          </a:r>
        </a:p>
        <a:p>
          <a:r>
            <a:rPr lang="de-CH" sz="1200" baseline="0"/>
            <a:t>- wenn Zellen (P7=2) und (Q6=2), dann folgt kleinste Überschreitungshäufigkeit</a:t>
          </a:r>
        </a:p>
        <a:p>
          <a:endParaRPr lang="de-CH" sz="1200" baseline="0"/>
        </a:p>
        <a:p>
          <a:r>
            <a:rPr lang="de-CH" sz="1200" baseline="0"/>
            <a:t>Soll mittels Zellenvorgabe generell </a:t>
          </a:r>
          <a:r>
            <a:rPr lang="de-CH" sz="1200" u="sng" baseline="0"/>
            <a:t>Über</a:t>
          </a:r>
          <a:r>
            <a:rPr lang="de-CH" sz="1200" baseline="0"/>
            <a:t>schreitungshäufigkeit individuell abgefragt werden --&gt; (</a:t>
          </a:r>
          <a:r>
            <a:rPr lang="de-CH" sz="1200" u="sng" baseline="0"/>
            <a:t>Q6=2</a:t>
          </a:r>
          <a:r>
            <a:rPr lang="de-CH" sz="1200" baseline="0"/>
            <a:t>), ist bei der gewünschten Wertvorgabe das </a:t>
          </a:r>
          <a:r>
            <a:rPr lang="de-CH" sz="1200" u="sng" baseline="0"/>
            <a:t>Vorzeichen</a:t>
          </a:r>
          <a:r>
            <a:rPr lang="de-CH" sz="1200" u="none" baseline="0"/>
            <a:t> </a:t>
          </a:r>
          <a:r>
            <a:rPr lang="de-CH" sz="1200" baseline="0"/>
            <a:t>zu </a:t>
          </a:r>
          <a:r>
            <a:rPr lang="de-CH" sz="1200" u="sng" baseline="0"/>
            <a:t>wechseln</a:t>
          </a:r>
          <a:r>
            <a:rPr lang="de-CH" sz="1200" baseline="0"/>
            <a:t>. Die Berechnung zur  Grafik vollzieht dies automatisch - wobei dann aber die Grafik auf der X - Achse als Bandbreite der sortierten Einzelwerte das «falsche» Vorzeichen beibehält.</a:t>
          </a:r>
          <a:endParaRPr lang="de-CH" sz="1200"/>
        </a:p>
        <a:p>
          <a:endParaRPr lang="de-CH" sz="1200"/>
        </a:p>
        <a:p>
          <a:r>
            <a:rPr lang="de-CH" sz="1200"/>
            <a:t>Die Aussagen basieren stets auf einem Vertrauensniveau von gewählten 95% und </a:t>
          </a:r>
          <a:r>
            <a:rPr lang="de-CH" sz="1200" u="none"/>
            <a:t>gelten</a:t>
          </a:r>
          <a:r>
            <a:rPr lang="de-CH" sz="1200" u="none" baseline="0"/>
            <a:t> jeweils nur für die betreffende Unterschreitungs - , nicht aber für die komplementäre Überschreitungshäufigkeit (oder umgekehrt!).                        </a:t>
          </a:r>
          <a:r>
            <a:rPr lang="de-CH" sz="1200"/>
            <a:t>Durch Überlagerung der Summenverläufe aus unbereinigter und bereinigter Stichprobe werden</a:t>
          </a:r>
          <a:r>
            <a:rPr lang="de-CH" sz="1200" baseline="0"/>
            <a:t> die Abweichungen visualisiert. Einzelwerte zum bereinigten Verlauf können dazu individuell abgefragt werden. Zudem wird der funktionale Zusammmenhang zwischen Ergebnissen aus unbereinigter (x), resp. bereinigter Berechnung (y) nach Potenzfunktion (y = A*x^B)  berechnet und durch den  resultierenden Korrelationskoeffizienten (r </a:t>
          </a:r>
          <a:r>
            <a:rPr lang="de-CH" sz="1200" baseline="0">
              <a:latin typeface="Calibri" panose="020F0502020204030204" pitchFamily="34" charset="0"/>
              <a:cs typeface="Calibri" panose="020F0502020204030204" pitchFamily="34" charset="0"/>
            </a:rPr>
            <a:t>≤ 1,0</a:t>
          </a:r>
          <a:r>
            <a:rPr lang="de-CH" sz="1200" baseline="0"/>
            <a:t>) verdeutlicht. </a:t>
          </a:r>
          <a:endParaRPr lang="de-CH" sz="1200"/>
        </a:p>
        <a:p>
          <a:endParaRPr lang="de-CH" sz="1100"/>
        </a:p>
        <a:p>
          <a:r>
            <a:rPr lang="de-CH" sz="1100"/>
            <a:t> </a:t>
          </a:r>
        </a:p>
        <a:p>
          <a:r>
            <a:rPr lang="de-CH" sz="1100"/>
            <a:t> </a:t>
          </a:r>
        </a:p>
      </xdr:txBody>
    </xdr:sp>
    <xdr:clientData/>
  </xdr:oneCellAnchor>
  <xdr:oneCellAnchor>
    <xdr:from>
      <xdr:col>14</xdr:col>
      <xdr:colOff>68580</xdr:colOff>
      <xdr:row>0</xdr:row>
      <xdr:rowOff>30480</xdr:rowOff>
    </xdr:from>
    <xdr:ext cx="5394960" cy="7269480"/>
    <xdr:sp macro="" textlink="">
      <xdr:nvSpPr>
        <xdr:cNvPr id="4" name="Textfeld 3">
          <a:extLst>
            <a:ext uri="{FF2B5EF4-FFF2-40B4-BE49-F238E27FC236}">
              <a16:creationId xmlns:a16="http://schemas.microsoft.com/office/drawing/2014/main" id="{9B4A2D25-6774-4B3B-89B7-AFCE045C2C7E}"/>
            </a:ext>
          </a:extLst>
        </xdr:cNvPr>
        <xdr:cNvSpPr txBox="1"/>
      </xdr:nvSpPr>
      <xdr:spPr>
        <a:xfrm>
          <a:off x="11247120" y="30480"/>
          <a:ext cx="5394960" cy="7269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200" b="1"/>
            <a:t>Fazit</a:t>
          </a:r>
        </a:p>
        <a:p>
          <a:r>
            <a:rPr lang="de-CH" sz="1200"/>
            <a:t>Vorausgesetzt, die Stichprobe ist mit einer Normalverteilung grundsätzlich kompatibel (Überprüfung mittels Grubbs – Test, VN 95%; siehe Online – Link), </a:t>
          </a:r>
        </a:p>
        <a:p>
          <a:r>
            <a:rPr lang="de-CH" sz="1200"/>
            <a:t>kann daraus mittels «modellierter Wahrscheinlichkeit» in guter Annäherung auf </a:t>
          </a:r>
        </a:p>
        <a:p>
          <a:r>
            <a:rPr lang="de-CH" sz="1200"/>
            <a:t>die Wahrscheinlichkeitsverteilung der «Gesamtheit» geschlossen werden. </a:t>
          </a:r>
        </a:p>
        <a:p>
          <a:endParaRPr lang="de-CH" sz="1200"/>
        </a:p>
        <a:p>
          <a:r>
            <a:rPr lang="de-CH" sz="1200"/>
            <a:t>Wenn man die minimalen Abweichungen zwischen den nach ISO 16269 – 6 tabellierten k3-Werten (einseitiges Toleranzintervall, VN 95%) und den daraus </a:t>
          </a:r>
        </a:p>
        <a:p>
          <a:r>
            <a:rPr lang="de-CH" sz="1200"/>
            <a:t>für dieses Excel - file abgeleiteten Funktionswerten vernachlässigt, beträgt das theoretische Vertrauensniveau für die Unterschreitungs - bzw. Überschreitungs- wahrscheinlichkeit eines Einzelwertes rund  95%. </a:t>
          </a:r>
        </a:p>
        <a:p>
          <a:endParaRPr lang="de-CH" sz="1200"/>
        </a:p>
        <a:p>
          <a:r>
            <a:rPr lang="de-CH" sz="1200"/>
            <a:t>Die Untergrenze der Stichprobengrösse muss ≥ 6, obere (Eingabe -) Grenze </a:t>
          </a:r>
        </a:p>
        <a:p>
          <a:r>
            <a:rPr lang="de-CH" sz="1200"/>
            <a:t>darf ≤ 100 betragen                                                                                                                                    </a:t>
          </a:r>
        </a:p>
        <a:p>
          <a:endParaRPr lang="de-CH" sz="1200"/>
        </a:p>
        <a:p>
          <a:r>
            <a:rPr lang="de-CH" sz="1200"/>
            <a:t>                                                                                                                     </a:t>
          </a:r>
          <a:r>
            <a:rPr lang="de-CH" sz="900" i="1"/>
            <a:t>Mai 2017 / Ba                     </a:t>
          </a:r>
        </a:p>
        <a:p>
          <a:endParaRPr lang="de-CH" sz="1100"/>
        </a:p>
      </xdr:txBody>
    </xdr:sp>
    <xdr:clientData/>
  </xdr:oneCellAnchor>
  <xdr:oneCellAnchor>
    <xdr:from>
      <xdr:col>14</xdr:col>
      <xdr:colOff>685800</xdr:colOff>
      <xdr:row>1</xdr:row>
      <xdr:rowOff>121920</xdr:rowOff>
    </xdr:from>
    <xdr:ext cx="184731" cy="264560"/>
    <xdr:sp macro="" textlink="">
      <xdr:nvSpPr>
        <xdr:cNvPr id="5" name="Textfeld 4">
          <a:extLst>
            <a:ext uri="{FF2B5EF4-FFF2-40B4-BE49-F238E27FC236}">
              <a16:creationId xmlns:a16="http://schemas.microsoft.com/office/drawing/2014/main" id="{5412ED13-12AB-49F1-A85D-63D58D974F23}"/>
            </a:ext>
          </a:extLst>
        </xdr:cNvPr>
        <xdr:cNvSpPr txBox="1"/>
      </xdr:nvSpPr>
      <xdr:spPr>
        <a:xfrm>
          <a:off x="11864340"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1655096</xdr:colOff>
      <xdr:row>13</xdr:row>
      <xdr:rowOff>90129</xdr:rowOff>
    </xdr:from>
    <xdr:ext cx="184731" cy="264560"/>
    <xdr:sp macro="" textlink="">
      <xdr:nvSpPr>
        <xdr:cNvPr id="8" name="Textfeld 7">
          <a:extLst>
            <a:ext uri="{FF2B5EF4-FFF2-40B4-BE49-F238E27FC236}">
              <a16:creationId xmlns:a16="http://schemas.microsoft.com/office/drawing/2014/main" id="{FE653ED7-E592-4FE8-B44F-DAD0D48DF1B0}"/>
            </a:ext>
          </a:extLst>
        </xdr:cNvPr>
        <xdr:cNvSpPr txBox="1"/>
      </xdr:nvSpPr>
      <xdr:spPr>
        <a:xfrm>
          <a:off x="5129161" y="2597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13</xdr:col>
      <xdr:colOff>65550</xdr:colOff>
      <xdr:row>7</xdr:row>
      <xdr:rowOff>180257</xdr:rowOff>
    </xdr:from>
    <xdr:to>
      <xdr:col>14</xdr:col>
      <xdr:colOff>0</xdr:colOff>
      <xdr:row>32</xdr:row>
      <xdr:rowOff>139289</xdr:rowOff>
    </xdr:to>
    <xdr:graphicFrame macro="">
      <xdr:nvGraphicFramePr>
        <xdr:cNvPr id="3" name="Diagramm 2">
          <a:extLst>
            <a:ext uri="{FF2B5EF4-FFF2-40B4-BE49-F238E27FC236}">
              <a16:creationId xmlns:a16="http://schemas.microsoft.com/office/drawing/2014/main" id="{9730A825-D7B0-4BDB-A98C-36A53680E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0.14421</cdr:x>
      <cdr:y>0.0789</cdr:y>
    </cdr:from>
    <cdr:to>
      <cdr:x>0.95626</cdr:x>
      <cdr:y>0.28367</cdr:y>
    </cdr:to>
    <cdr:sp macro="" textlink="">
      <cdr:nvSpPr>
        <cdr:cNvPr id="2" name="Textfeld 1">
          <a:extLst xmlns:a="http://schemas.openxmlformats.org/drawingml/2006/main">
            <a:ext uri="{FF2B5EF4-FFF2-40B4-BE49-F238E27FC236}">
              <a16:creationId xmlns:a16="http://schemas.microsoft.com/office/drawing/2014/main" id="{9EF01A85-EA74-4567-9D7C-103C51E480C7}"/>
            </a:ext>
          </a:extLst>
        </cdr:cNvPr>
        <cdr:cNvSpPr txBox="1"/>
      </cdr:nvSpPr>
      <cdr:spPr>
        <a:xfrm xmlns:a="http://schemas.openxmlformats.org/drawingml/2006/main">
          <a:off x="999611" y="352324"/>
          <a:ext cx="5628967"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CH" sz="1100">
              <a:solidFill>
                <a:srgbClr val="00B050"/>
              </a:solidFill>
            </a:rPr>
            <a:t>wenn Zelle P7 = 1 </a:t>
          </a:r>
          <a:r>
            <a:rPr lang="de-CH" sz="1100"/>
            <a:t>und </a:t>
          </a:r>
          <a:r>
            <a:rPr lang="de-CH" sz="1100">
              <a:solidFill>
                <a:srgbClr val="0070C0"/>
              </a:solidFill>
            </a:rPr>
            <a:t>Zelle Q6 = 1</a:t>
          </a:r>
          <a:r>
            <a:rPr lang="de-CH" sz="1100"/>
            <a:t>, dann folgt grösste Unterschreitungshäufigkeit</a:t>
          </a:r>
        </a:p>
        <a:p xmlns:a="http://schemas.openxmlformats.org/drawingml/2006/main">
          <a:r>
            <a:rPr lang="de-CH" sz="1100">
              <a:solidFill>
                <a:srgbClr val="00B050"/>
              </a:solidFill>
            </a:rPr>
            <a:t>wenn Zelle P7 = 2 </a:t>
          </a:r>
          <a:r>
            <a:rPr lang="de-CH" sz="1100"/>
            <a:t>und </a:t>
          </a:r>
          <a:r>
            <a:rPr lang="de-CH" sz="1100">
              <a:solidFill>
                <a:srgbClr val="0070C0"/>
              </a:solidFill>
            </a:rPr>
            <a:t>Zelle Q6 = 1</a:t>
          </a:r>
          <a:r>
            <a:rPr lang="de-CH" sz="1100"/>
            <a:t>,</a:t>
          </a:r>
          <a:r>
            <a:rPr lang="de-CH" sz="1100" baseline="0"/>
            <a:t> dann</a:t>
          </a:r>
          <a:r>
            <a:rPr lang="de-CH" sz="1100"/>
            <a:t> folgt kleinste Unterschreitungshäufigkeit</a:t>
          </a:r>
        </a:p>
        <a:p xmlns:a="http://schemas.openxmlformats.org/drawingml/2006/main">
          <a:r>
            <a:rPr lang="de-CH" sz="1100">
              <a:solidFill>
                <a:srgbClr val="00B050"/>
              </a:solidFill>
            </a:rPr>
            <a:t>wenn</a:t>
          </a:r>
          <a:r>
            <a:rPr lang="de-CH" sz="1100" baseline="0">
              <a:solidFill>
                <a:srgbClr val="00B050"/>
              </a:solidFill>
            </a:rPr>
            <a:t> Zelle P7 = 1 </a:t>
          </a:r>
          <a:r>
            <a:rPr lang="de-CH" sz="1100" baseline="0"/>
            <a:t>und </a:t>
          </a:r>
          <a:r>
            <a:rPr lang="de-CH" sz="1100" baseline="0">
              <a:solidFill>
                <a:srgbClr val="0070C0"/>
              </a:solidFill>
            </a:rPr>
            <a:t>Zelle Q6 = 2</a:t>
          </a:r>
          <a:r>
            <a:rPr lang="de-CH" sz="1100" baseline="0"/>
            <a:t>, dann folgt grösste Überschreitungshäufigkeit</a:t>
          </a:r>
        </a:p>
        <a:p xmlns:a="http://schemas.openxmlformats.org/drawingml/2006/main">
          <a:r>
            <a:rPr lang="de-CH" sz="1100" baseline="0">
              <a:solidFill>
                <a:srgbClr val="00B050"/>
              </a:solidFill>
            </a:rPr>
            <a:t>wenn Zelle P7 = 2 </a:t>
          </a:r>
          <a:r>
            <a:rPr lang="de-CH" sz="1100" baseline="0"/>
            <a:t>und </a:t>
          </a:r>
          <a:r>
            <a:rPr lang="de-CH" sz="1100" baseline="0">
              <a:solidFill>
                <a:srgbClr val="0070C0"/>
              </a:solidFill>
            </a:rPr>
            <a:t>Zelle Q6 = 2</a:t>
          </a:r>
          <a:r>
            <a:rPr lang="de-CH" sz="1100" baseline="0"/>
            <a:t>, dann folgt kleinste Überschreitungshäufigkeit </a:t>
          </a:r>
          <a:endParaRPr lang="de-CH" sz="1100"/>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raphpad.com/quickcalcs/grubbs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workbookViewId="0">
      <selection activeCell="N23" sqref="N23"/>
    </sheetView>
  </sheetViews>
  <sheetFormatPr baseColWidth="10" defaultRowHeight="14.4" x14ac:dyDescent="0.3"/>
  <cols>
    <col min="1" max="7" width="11.5546875" style="1"/>
    <col min="8" max="8" width="12.77734375" style="1" customWidth="1"/>
    <col min="9" max="18" width="11.5546875" style="1"/>
    <col min="19" max="19" width="24.44140625" style="1" customWidth="1"/>
    <col min="20" max="16384" width="11.5546875" style="1"/>
  </cols>
  <sheetData>
    <row r="1" spans="1:21" x14ac:dyDescent="0.3">
      <c r="B1" s="3"/>
      <c r="C1" s="3"/>
      <c r="D1" s="3"/>
      <c r="E1" s="3"/>
      <c r="F1" s="3"/>
      <c r="G1" s="3"/>
      <c r="H1" s="3"/>
      <c r="I1" s="3"/>
      <c r="J1" s="3"/>
      <c r="K1" s="3"/>
      <c r="L1" s="3"/>
      <c r="M1" s="3"/>
      <c r="N1" s="3"/>
      <c r="O1" s="3"/>
      <c r="P1" s="24"/>
      <c r="Q1" s="24"/>
      <c r="R1" s="24"/>
      <c r="S1" s="24"/>
      <c r="T1" s="24"/>
      <c r="U1" s="2"/>
    </row>
    <row r="2" spans="1:21" x14ac:dyDescent="0.3">
      <c r="A2" s="3"/>
      <c r="B2" s="3"/>
      <c r="C2" s="3"/>
      <c r="D2" s="3"/>
      <c r="E2" s="3"/>
      <c r="F2" s="3"/>
      <c r="G2" s="3"/>
      <c r="H2" s="3"/>
      <c r="I2" s="3"/>
      <c r="J2" s="3"/>
      <c r="K2" s="3"/>
      <c r="L2" s="3"/>
      <c r="M2" s="3"/>
      <c r="N2" s="3"/>
      <c r="O2" s="3"/>
      <c r="P2" s="24"/>
      <c r="Q2" s="24"/>
      <c r="R2" s="24"/>
      <c r="S2" s="24"/>
      <c r="T2" s="24"/>
      <c r="U2" s="2"/>
    </row>
    <row r="3" spans="1:21" x14ac:dyDescent="0.3">
      <c r="A3" s="3"/>
      <c r="B3" s="3"/>
      <c r="C3" s="3"/>
      <c r="D3" s="3"/>
      <c r="E3" s="3"/>
      <c r="F3" s="3"/>
      <c r="G3" s="3"/>
      <c r="H3" s="3"/>
      <c r="I3" s="3"/>
      <c r="J3" s="3"/>
      <c r="K3" s="3"/>
      <c r="L3" s="3"/>
      <c r="M3" s="3"/>
      <c r="N3" s="3"/>
      <c r="O3" s="3"/>
      <c r="P3" s="24"/>
      <c r="Q3" s="24"/>
      <c r="R3" s="24"/>
      <c r="S3" s="24"/>
      <c r="T3" s="24"/>
      <c r="U3" s="2"/>
    </row>
    <row r="4" spans="1:21" x14ac:dyDescent="0.3">
      <c r="A4" s="3"/>
      <c r="B4" s="3"/>
      <c r="C4" s="3"/>
      <c r="D4" s="3"/>
      <c r="E4" s="3"/>
      <c r="F4" s="3"/>
      <c r="G4" s="3"/>
      <c r="H4" s="3"/>
      <c r="I4" s="3"/>
      <c r="J4" s="3"/>
      <c r="K4" s="3"/>
      <c r="L4" s="3"/>
      <c r="M4" s="3"/>
      <c r="N4" s="3"/>
      <c r="O4" s="3"/>
      <c r="P4" s="24"/>
      <c r="Q4" s="24"/>
      <c r="R4" s="24"/>
      <c r="S4" s="24"/>
      <c r="T4" s="24"/>
      <c r="U4" s="2"/>
    </row>
    <row r="5" spans="1:21" x14ac:dyDescent="0.3">
      <c r="A5" s="3"/>
      <c r="B5" s="3"/>
      <c r="C5" s="3"/>
      <c r="D5" s="3"/>
      <c r="E5" s="3"/>
      <c r="F5" s="3"/>
      <c r="G5" s="3"/>
      <c r="H5" s="3"/>
      <c r="I5" s="3"/>
      <c r="J5" s="3"/>
      <c r="K5" s="3"/>
      <c r="L5" s="3"/>
      <c r="M5" s="3"/>
      <c r="N5" s="3"/>
      <c r="O5" s="3"/>
      <c r="P5" s="24"/>
      <c r="Q5" s="24"/>
      <c r="R5" s="24"/>
      <c r="S5" s="24"/>
      <c r="T5" s="24"/>
      <c r="U5" s="2"/>
    </row>
    <row r="6" spans="1:21" x14ac:dyDescent="0.3">
      <c r="A6" s="3"/>
      <c r="B6" s="3"/>
      <c r="C6" s="3"/>
      <c r="D6" s="3"/>
      <c r="E6" s="3"/>
      <c r="F6" s="3"/>
      <c r="G6" s="3"/>
      <c r="H6" s="3"/>
      <c r="I6" s="3"/>
      <c r="J6" s="3"/>
      <c r="K6" s="3"/>
      <c r="L6" s="3"/>
      <c r="M6" s="3"/>
      <c r="N6" s="3"/>
      <c r="O6" s="3"/>
      <c r="P6" s="24"/>
      <c r="Q6" s="24"/>
      <c r="R6" s="24"/>
      <c r="S6" s="24"/>
      <c r="T6" s="24"/>
      <c r="U6" s="2"/>
    </row>
    <row r="7" spans="1:21" x14ac:dyDescent="0.3">
      <c r="A7" s="3"/>
      <c r="B7" s="3"/>
      <c r="C7" s="3"/>
      <c r="D7" s="3"/>
      <c r="E7" s="3"/>
      <c r="F7" s="3"/>
      <c r="G7" s="3"/>
      <c r="H7" s="3"/>
      <c r="I7" s="3"/>
      <c r="J7" s="3"/>
      <c r="K7" s="3"/>
      <c r="L7" s="3"/>
      <c r="M7" s="3"/>
      <c r="N7" s="3"/>
      <c r="O7" s="3"/>
      <c r="P7" s="24"/>
      <c r="Q7" s="24"/>
      <c r="R7" s="24"/>
      <c r="S7" s="24"/>
      <c r="T7" s="24"/>
      <c r="U7" s="2"/>
    </row>
    <row r="8" spans="1:21" x14ac:dyDescent="0.3">
      <c r="A8" s="3"/>
      <c r="B8" s="3"/>
      <c r="C8" s="3"/>
      <c r="D8" s="3"/>
      <c r="E8" s="3"/>
      <c r="F8" s="3"/>
      <c r="G8" s="3"/>
      <c r="H8" s="3"/>
      <c r="I8" s="3"/>
      <c r="J8" s="3"/>
      <c r="K8" s="3"/>
      <c r="L8" s="3"/>
      <c r="M8" s="3"/>
      <c r="N8" s="3"/>
      <c r="O8" s="3"/>
      <c r="P8" s="24"/>
      <c r="Q8" s="24"/>
      <c r="R8" s="24"/>
      <c r="S8" s="24"/>
      <c r="T8" s="24"/>
      <c r="U8" s="2"/>
    </row>
    <row r="9" spans="1:21" x14ac:dyDescent="0.3">
      <c r="A9" s="3"/>
      <c r="B9" s="3"/>
      <c r="C9" s="3"/>
      <c r="D9" s="3"/>
      <c r="E9" s="3"/>
      <c r="F9" s="3"/>
      <c r="G9" s="3"/>
      <c r="H9" s="3"/>
      <c r="I9" s="3"/>
      <c r="J9" s="3"/>
      <c r="K9" s="3"/>
      <c r="L9" s="3"/>
      <c r="M9" s="3"/>
      <c r="N9" s="3"/>
      <c r="O9" s="3"/>
      <c r="P9" s="24"/>
      <c r="Q9" s="24"/>
      <c r="R9" s="24"/>
      <c r="S9" s="24"/>
      <c r="T9" s="24"/>
      <c r="U9" s="2"/>
    </row>
    <row r="10" spans="1:21" x14ac:dyDescent="0.3">
      <c r="A10" s="3"/>
      <c r="B10" s="3"/>
      <c r="C10" s="3"/>
      <c r="D10" s="3"/>
      <c r="E10" s="3"/>
      <c r="F10" s="3"/>
      <c r="G10" s="3"/>
      <c r="H10" s="3"/>
      <c r="I10" s="3"/>
      <c r="J10" s="3"/>
      <c r="K10" s="3"/>
      <c r="L10" s="3"/>
      <c r="M10" s="3"/>
      <c r="N10" s="3"/>
      <c r="O10" s="3"/>
      <c r="P10" s="24"/>
      <c r="Q10" s="24"/>
      <c r="R10" s="24"/>
      <c r="S10" s="24"/>
      <c r="T10" s="24"/>
      <c r="U10" s="2"/>
    </row>
    <row r="11" spans="1:21" x14ac:dyDescent="0.3">
      <c r="A11" s="3"/>
      <c r="B11" s="3"/>
      <c r="C11" s="3"/>
      <c r="D11" s="3"/>
      <c r="E11" s="3"/>
      <c r="F11" s="3"/>
      <c r="G11" s="3"/>
      <c r="H11" s="3"/>
      <c r="I11" s="3"/>
      <c r="J11" s="3"/>
      <c r="K11" s="3"/>
      <c r="L11" s="3"/>
      <c r="M11" s="3"/>
      <c r="N11" s="3"/>
      <c r="O11" s="3"/>
      <c r="P11" s="24"/>
      <c r="Q11" s="24"/>
      <c r="R11" s="24"/>
      <c r="S11" s="24"/>
      <c r="T11" s="24"/>
      <c r="U11" s="2"/>
    </row>
    <row r="12" spans="1:21" x14ac:dyDescent="0.3">
      <c r="A12" s="3"/>
      <c r="B12" s="3"/>
      <c r="C12" s="3"/>
      <c r="D12" s="3"/>
      <c r="E12" s="3"/>
      <c r="F12" s="3"/>
      <c r="G12" s="3"/>
      <c r="H12" s="3"/>
      <c r="I12" s="3"/>
      <c r="J12" s="3"/>
      <c r="K12" s="3"/>
      <c r="L12" s="3"/>
      <c r="M12" s="3"/>
      <c r="N12" s="3"/>
      <c r="O12" s="3"/>
      <c r="P12" s="24"/>
      <c r="Q12" s="24"/>
      <c r="R12" s="24"/>
      <c r="S12" s="24"/>
      <c r="T12" s="24"/>
      <c r="U12" s="2"/>
    </row>
    <row r="13" spans="1:21" x14ac:dyDescent="0.3">
      <c r="A13" s="3"/>
      <c r="B13" s="3"/>
      <c r="C13" s="3"/>
      <c r="D13" s="3"/>
      <c r="E13" s="3"/>
      <c r="F13" s="3"/>
      <c r="G13" s="3"/>
      <c r="H13" s="3"/>
      <c r="I13" s="3"/>
      <c r="J13" s="3"/>
      <c r="K13" s="3"/>
      <c r="L13" s="3"/>
      <c r="M13" s="3"/>
      <c r="N13" s="3"/>
      <c r="O13" s="3"/>
      <c r="P13" s="24"/>
      <c r="Q13" s="24"/>
      <c r="R13" s="24"/>
      <c r="S13" s="24"/>
      <c r="T13" s="24"/>
      <c r="U13" s="2"/>
    </row>
    <row r="14" spans="1:21" x14ac:dyDescent="0.3">
      <c r="A14" s="3"/>
      <c r="B14" s="3"/>
      <c r="C14" s="3"/>
      <c r="D14" s="3"/>
      <c r="E14" s="3"/>
      <c r="F14" s="3"/>
      <c r="G14" s="3"/>
      <c r="H14" s="3"/>
      <c r="I14" s="3"/>
      <c r="J14" s="3"/>
      <c r="K14" s="3"/>
      <c r="L14" s="3"/>
      <c r="M14" s="3"/>
      <c r="N14" s="3"/>
      <c r="O14" s="3"/>
      <c r="P14" s="24"/>
      <c r="Q14" s="24"/>
      <c r="R14" s="24"/>
      <c r="S14" s="24"/>
      <c r="T14" s="24"/>
      <c r="U14" s="2"/>
    </row>
    <row r="15" spans="1:21" x14ac:dyDescent="0.3">
      <c r="A15" s="3"/>
      <c r="B15" s="3"/>
      <c r="C15" s="3"/>
      <c r="D15" s="3"/>
      <c r="E15" s="3"/>
      <c r="F15" s="3"/>
      <c r="G15" s="3"/>
      <c r="H15" s="3"/>
      <c r="I15" s="3"/>
      <c r="J15" s="3"/>
      <c r="K15" s="3"/>
      <c r="L15" s="3"/>
      <c r="M15" s="3"/>
      <c r="N15" s="3"/>
      <c r="O15" s="3"/>
      <c r="P15" s="24"/>
      <c r="Q15" s="24"/>
      <c r="R15" s="24"/>
      <c r="S15" s="24"/>
      <c r="T15" s="24"/>
      <c r="U15" s="2"/>
    </row>
    <row r="16" spans="1:21" x14ac:dyDescent="0.3">
      <c r="A16" s="3"/>
      <c r="B16" s="3"/>
      <c r="C16" s="3"/>
      <c r="D16" s="3"/>
      <c r="E16" s="3"/>
      <c r="F16" s="3"/>
      <c r="G16" s="3"/>
      <c r="H16" s="3"/>
      <c r="I16" s="3"/>
      <c r="J16" s="3"/>
      <c r="K16" s="3"/>
      <c r="L16" s="3"/>
      <c r="M16" s="3"/>
      <c r="N16" s="3"/>
      <c r="O16" s="3"/>
      <c r="P16" s="24"/>
      <c r="Q16" s="24"/>
      <c r="R16" s="24"/>
      <c r="S16" s="24"/>
      <c r="T16" s="24"/>
      <c r="U16" s="2"/>
    </row>
    <row r="17" spans="1:21" x14ac:dyDescent="0.3">
      <c r="A17" s="3"/>
      <c r="B17" s="3"/>
      <c r="C17" s="3"/>
      <c r="D17" s="3"/>
      <c r="E17" s="3"/>
      <c r="F17" s="3"/>
      <c r="G17" s="3"/>
      <c r="H17" s="3"/>
      <c r="I17" s="3"/>
      <c r="J17" s="3"/>
      <c r="K17" s="3"/>
      <c r="L17" s="3"/>
      <c r="M17" s="3"/>
      <c r="N17" s="3"/>
      <c r="O17" s="3"/>
      <c r="P17" s="24"/>
      <c r="Q17" s="24"/>
      <c r="R17" s="24"/>
      <c r="S17" s="24"/>
      <c r="T17" s="24"/>
      <c r="U17" s="2"/>
    </row>
    <row r="18" spans="1:21" x14ac:dyDescent="0.3">
      <c r="A18" s="3"/>
      <c r="B18" s="3"/>
      <c r="C18" s="3"/>
      <c r="D18" s="3"/>
      <c r="E18" s="3"/>
      <c r="F18" s="3"/>
      <c r="G18" s="3"/>
      <c r="H18" s="3"/>
      <c r="I18" s="3"/>
      <c r="J18" s="3"/>
      <c r="K18" s="3"/>
      <c r="L18" s="3"/>
      <c r="M18" s="3"/>
      <c r="N18" s="3"/>
      <c r="O18" s="3"/>
      <c r="P18" s="24"/>
      <c r="Q18" s="24"/>
      <c r="R18" s="24"/>
      <c r="S18" s="24"/>
      <c r="T18" s="24"/>
      <c r="U18" s="2"/>
    </row>
    <row r="19" spans="1:21" x14ac:dyDescent="0.3">
      <c r="A19" s="3"/>
      <c r="B19" s="3"/>
      <c r="C19" s="3"/>
      <c r="D19" s="3"/>
      <c r="E19" s="3"/>
      <c r="F19" s="3"/>
      <c r="G19" s="3"/>
      <c r="H19" s="3"/>
      <c r="I19" s="3"/>
      <c r="J19" s="3"/>
      <c r="K19" s="3"/>
      <c r="L19" s="3"/>
      <c r="M19" s="3"/>
      <c r="N19" s="3"/>
      <c r="O19" s="3"/>
      <c r="P19" s="24"/>
      <c r="Q19" s="24"/>
      <c r="R19" s="24"/>
      <c r="S19" s="24"/>
      <c r="T19" s="24"/>
      <c r="U19" s="2"/>
    </row>
    <row r="20" spans="1:21" x14ac:dyDescent="0.3">
      <c r="A20" s="3"/>
      <c r="B20" s="3"/>
      <c r="C20" s="3"/>
      <c r="D20" s="3"/>
      <c r="E20" s="3"/>
      <c r="F20" s="3"/>
      <c r="G20" s="3"/>
      <c r="H20" s="3"/>
      <c r="I20" s="3"/>
      <c r="J20" s="3"/>
      <c r="K20" s="3"/>
      <c r="L20" s="3"/>
      <c r="M20" s="3"/>
      <c r="N20" s="3"/>
      <c r="O20" s="3"/>
      <c r="P20" s="24"/>
      <c r="Q20" s="24"/>
      <c r="R20" s="24"/>
      <c r="S20" s="24"/>
      <c r="T20" s="24"/>
      <c r="U20" s="2"/>
    </row>
    <row r="21" spans="1:21" x14ac:dyDescent="0.3">
      <c r="A21" s="3"/>
      <c r="B21" s="3"/>
      <c r="C21" s="3"/>
      <c r="D21" s="3"/>
      <c r="E21" s="3"/>
      <c r="F21" s="3"/>
      <c r="G21" s="3"/>
      <c r="H21" s="3"/>
      <c r="I21" s="3"/>
      <c r="J21" s="3"/>
      <c r="K21" s="3"/>
      <c r="L21" s="3"/>
      <c r="M21" s="3"/>
      <c r="N21" s="3"/>
      <c r="O21" s="3"/>
      <c r="P21" s="24"/>
      <c r="Q21" s="24"/>
      <c r="R21" s="24"/>
      <c r="S21" s="24"/>
      <c r="T21" s="24"/>
      <c r="U21" s="2"/>
    </row>
    <row r="22" spans="1:21" x14ac:dyDescent="0.3">
      <c r="A22" s="3"/>
      <c r="B22" s="3"/>
      <c r="C22" s="3"/>
      <c r="D22" s="3"/>
      <c r="E22" s="3"/>
      <c r="F22" s="3"/>
      <c r="G22" s="3"/>
      <c r="H22" s="3"/>
      <c r="I22" s="3"/>
      <c r="J22" s="3"/>
      <c r="K22" s="3"/>
      <c r="L22" s="3"/>
      <c r="M22" s="3"/>
      <c r="N22" s="3"/>
      <c r="O22" s="3"/>
      <c r="P22" s="24"/>
      <c r="Q22" s="24"/>
      <c r="R22" s="24"/>
      <c r="S22" s="24"/>
      <c r="T22" s="24"/>
      <c r="U22" s="2"/>
    </row>
    <row r="23" spans="1:21" x14ac:dyDescent="0.3">
      <c r="A23" s="3"/>
      <c r="B23" s="3"/>
      <c r="C23" s="3"/>
      <c r="D23" s="3"/>
      <c r="E23" s="3"/>
      <c r="F23" s="3"/>
      <c r="G23" s="3"/>
      <c r="H23" s="3"/>
      <c r="I23" s="3"/>
      <c r="J23" s="3"/>
      <c r="K23" s="3"/>
      <c r="L23" s="3"/>
      <c r="M23" s="3"/>
      <c r="N23" s="3"/>
      <c r="O23" s="3"/>
      <c r="P23" s="24"/>
      <c r="Q23" s="24"/>
      <c r="R23" s="24"/>
      <c r="S23" s="24"/>
      <c r="T23" s="24"/>
      <c r="U23" s="2"/>
    </row>
    <row r="24" spans="1:21" x14ac:dyDescent="0.3">
      <c r="A24" s="3"/>
      <c r="B24" s="3"/>
      <c r="C24" s="3"/>
      <c r="D24" s="3"/>
      <c r="E24" s="3"/>
      <c r="F24" s="3"/>
      <c r="G24" s="3"/>
      <c r="H24" s="3"/>
      <c r="I24" s="3"/>
      <c r="J24" s="3"/>
      <c r="K24" s="3"/>
      <c r="L24" s="3"/>
      <c r="M24" s="3"/>
      <c r="N24" s="3"/>
      <c r="O24" s="3"/>
      <c r="P24" s="24"/>
      <c r="Q24" s="24"/>
      <c r="R24" s="24"/>
      <c r="S24" s="24"/>
      <c r="T24" s="24"/>
      <c r="U24" s="2"/>
    </row>
    <row r="25" spans="1:21" x14ac:dyDescent="0.3">
      <c r="A25" s="3"/>
      <c r="B25" s="3"/>
      <c r="C25" s="3"/>
      <c r="D25" s="3"/>
      <c r="E25" s="3"/>
      <c r="F25" s="3"/>
      <c r="G25" s="3"/>
      <c r="H25" s="3"/>
      <c r="I25" s="3"/>
      <c r="J25" s="3"/>
      <c r="K25" s="3"/>
      <c r="L25" s="3"/>
      <c r="M25" s="3"/>
      <c r="N25" s="3"/>
      <c r="O25" s="3"/>
      <c r="P25" s="24"/>
      <c r="Q25" s="24"/>
      <c r="R25" s="24"/>
      <c r="S25" s="24"/>
      <c r="T25" s="24"/>
      <c r="U25" s="2"/>
    </row>
    <row r="26" spans="1:21" x14ac:dyDescent="0.3">
      <c r="A26" s="3"/>
      <c r="B26" s="3"/>
      <c r="C26" s="3"/>
      <c r="D26" s="3"/>
      <c r="E26" s="3"/>
      <c r="F26" s="3"/>
      <c r="G26" s="3"/>
      <c r="H26" s="3"/>
      <c r="I26" s="3"/>
      <c r="J26" s="3"/>
      <c r="K26" s="3"/>
      <c r="L26" s="3"/>
      <c r="M26" s="3"/>
      <c r="N26" s="3"/>
      <c r="O26" s="3"/>
      <c r="P26" s="24"/>
      <c r="Q26" s="24"/>
      <c r="R26" s="24"/>
      <c r="S26" s="24"/>
      <c r="T26" s="24"/>
      <c r="U26" s="2"/>
    </row>
    <row r="27" spans="1:21" x14ac:dyDescent="0.3">
      <c r="A27" s="3"/>
      <c r="B27" s="3"/>
      <c r="C27" s="3"/>
      <c r="D27" s="3"/>
      <c r="E27" s="3"/>
      <c r="F27" s="3"/>
      <c r="G27" s="3"/>
      <c r="H27" s="3"/>
      <c r="I27" s="3"/>
      <c r="J27" s="3"/>
      <c r="K27" s="3"/>
      <c r="L27" s="3"/>
      <c r="M27" s="3"/>
      <c r="N27" s="3"/>
      <c r="O27" s="3"/>
      <c r="P27" s="24"/>
      <c r="Q27" s="24"/>
      <c r="R27" s="24"/>
      <c r="S27" s="24"/>
      <c r="T27" s="24"/>
      <c r="U27" s="2"/>
    </row>
    <row r="28" spans="1:21" x14ac:dyDescent="0.3">
      <c r="A28" s="3"/>
      <c r="B28" s="3"/>
      <c r="C28" s="3"/>
      <c r="D28" s="3"/>
      <c r="E28" s="3"/>
      <c r="F28" s="3"/>
      <c r="G28" s="3"/>
      <c r="H28" s="3"/>
      <c r="I28" s="3"/>
      <c r="J28" s="3"/>
      <c r="K28" s="3"/>
      <c r="L28" s="3"/>
      <c r="M28" s="3"/>
      <c r="N28" s="3"/>
      <c r="O28" s="3"/>
      <c r="P28" s="24"/>
      <c r="Q28" s="24"/>
      <c r="R28" s="24"/>
      <c r="S28" s="24"/>
      <c r="T28" s="24"/>
      <c r="U28" s="2"/>
    </row>
    <row r="29" spans="1:21" x14ac:dyDescent="0.3">
      <c r="A29" s="3"/>
      <c r="B29" s="3"/>
      <c r="C29" s="3"/>
      <c r="D29" s="3"/>
      <c r="E29" s="3"/>
      <c r="F29" s="3"/>
      <c r="G29" s="3"/>
      <c r="H29" s="3"/>
      <c r="I29" s="3"/>
      <c r="J29" s="3"/>
      <c r="K29" s="3"/>
      <c r="L29" s="3"/>
      <c r="M29" s="3"/>
      <c r="N29" s="3"/>
      <c r="O29" s="3"/>
      <c r="P29" s="24"/>
      <c r="Q29" s="24"/>
      <c r="R29" s="24"/>
      <c r="S29" s="24"/>
      <c r="T29" s="24"/>
      <c r="U29" s="2"/>
    </row>
    <row r="30" spans="1:21" x14ac:dyDescent="0.3">
      <c r="A30" s="3"/>
      <c r="B30" s="3"/>
      <c r="C30" s="3"/>
      <c r="D30" s="3"/>
      <c r="E30" s="3"/>
      <c r="F30" s="3"/>
      <c r="G30" s="3"/>
      <c r="H30" s="3"/>
      <c r="I30" s="3"/>
      <c r="J30" s="3"/>
      <c r="K30" s="3"/>
      <c r="L30" s="3"/>
      <c r="M30" s="3"/>
      <c r="N30" s="3"/>
      <c r="O30" s="3"/>
      <c r="P30" s="24"/>
      <c r="Q30" s="24"/>
      <c r="R30" s="24"/>
      <c r="S30" s="24"/>
      <c r="T30" s="24"/>
      <c r="U30" s="2"/>
    </row>
    <row r="31" spans="1:21" x14ac:dyDescent="0.3">
      <c r="A31" s="3"/>
      <c r="B31" s="3"/>
      <c r="C31" s="3"/>
      <c r="D31" s="3"/>
      <c r="E31" s="3"/>
      <c r="F31" s="3"/>
      <c r="G31" s="3"/>
      <c r="H31" s="3"/>
      <c r="I31" s="3"/>
      <c r="J31" s="3"/>
      <c r="K31" s="3"/>
      <c r="L31" s="3"/>
      <c r="M31" s="3"/>
      <c r="N31" s="3"/>
      <c r="O31" s="3"/>
      <c r="P31" s="24"/>
      <c r="Q31" s="24"/>
      <c r="R31" s="24"/>
      <c r="S31" s="24"/>
      <c r="T31" s="24"/>
      <c r="U31" s="2"/>
    </row>
    <row r="32" spans="1:21" x14ac:dyDescent="0.3">
      <c r="A32" s="3"/>
      <c r="B32" s="3"/>
      <c r="C32" s="3"/>
      <c r="D32" s="3"/>
      <c r="E32" s="3"/>
      <c r="F32" s="3"/>
      <c r="G32" s="3"/>
      <c r="H32" s="3"/>
      <c r="I32" s="3"/>
      <c r="J32" s="3"/>
      <c r="K32" s="3"/>
      <c r="L32" s="3"/>
      <c r="M32" s="3"/>
      <c r="N32" s="3"/>
      <c r="O32" s="3"/>
      <c r="P32" s="24"/>
      <c r="Q32" s="24"/>
      <c r="R32" s="24"/>
      <c r="S32" s="24"/>
      <c r="T32" s="24"/>
      <c r="U32" s="2"/>
    </row>
    <row r="33" spans="1:21" x14ac:dyDescent="0.3">
      <c r="A33" s="3"/>
      <c r="B33" s="3"/>
      <c r="C33" s="3"/>
      <c r="D33" s="3"/>
      <c r="E33" s="3"/>
      <c r="F33" s="3"/>
      <c r="G33" s="3"/>
      <c r="H33" s="3"/>
      <c r="I33" s="3"/>
      <c r="J33" s="3"/>
      <c r="K33" s="3"/>
      <c r="L33" s="3"/>
      <c r="M33" s="3"/>
      <c r="N33" s="3"/>
      <c r="O33" s="3"/>
      <c r="P33" s="24"/>
      <c r="Q33" s="24"/>
      <c r="R33" s="24"/>
      <c r="S33" s="24"/>
      <c r="T33" s="24"/>
      <c r="U33" s="2"/>
    </row>
    <row r="34" spans="1:21" x14ac:dyDescent="0.3">
      <c r="A34" s="3"/>
      <c r="B34" s="3"/>
      <c r="C34" s="3"/>
      <c r="D34" s="3"/>
      <c r="E34" s="3"/>
      <c r="F34" s="3"/>
      <c r="G34" s="3"/>
      <c r="H34" s="3"/>
      <c r="I34" s="3"/>
      <c r="J34" s="3"/>
      <c r="K34" s="3"/>
      <c r="L34" s="3"/>
      <c r="M34" s="3"/>
      <c r="N34" s="3"/>
      <c r="O34" s="3"/>
      <c r="P34" s="24"/>
      <c r="Q34" s="24"/>
      <c r="R34" s="24"/>
      <c r="S34" s="24"/>
      <c r="T34" s="24"/>
      <c r="U34" s="2"/>
    </row>
    <row r="35" spans="1:21" x14ac:dyDescent="0.3">
      <c r="A35" s="3"/>
      <c r="B35" s="3"/>
      <c r="C35" s="3"/>
      <c r="D35" s="3"/>
      <c r="E35" s="3"/>
      <c r="F35" s="3"/>
      <c r="G35" s="3"/>
      <c r="H35" s="3"/>
      <c r="I35" s="3"/>
      <c r="J35" s="3"/>
      <c r="K35" s="3"/>
      <c r="L35" s="3"/>
      <c r="M35" s="3"/>
      <c r="N35" s="3"/>
      <c r="O35" s="3"/>
      <c r="P35" s="24"/>
      <c r="Q35" s="24"/>
      <c r="R35" s="24"/>
      <c r="S35" s="24"/>
      <c r="T35" s="24"/>
      <c r="U35" s="2"/>
    </row>
    <row r="36" spans="1:21" x14ac:dyDescent="0.3">
      <c r="A36" s="3"/>
      <c r="B36" s="3"/>
      <c r="C36" s="3"/>
      <c r="D36" s="3"/>
      <c r="E36" s="3"/>
      <c r="F36" s="3"/>
      <c r="G36" s="3"/>
      <c r="H36" s="3"/>
      <c r="I36" s="3"/>
      <c r="J36" s="3"/>
      <c r="K36" s="3"/>
      <c r="L36" s="3"/>
      <c r="M36" s="3"/>
      <c r="N36" s="3"/>
      <c r="O36" s="3"/>
      <c r="P36" s="24"/>
      <c r="Q36" s="24"/>
      <c r="R36" s="24"/>
      <c r="S36" s="24"/>
      <c r="T36" s="24"/>
      <c r="U36" s="2"/>
    </row>
    <row r="37" spans="1:21" x14ac:dyDescent="0.3">
      <c r="A37" s="3"/>
      <c r="B37" s="3"/>
      <c r="C37" s="3"/>
      <c r="D37" s="3"/>
      <c r="E37" s="3"/>
      <c r="F37" s="3"/>
      <c r="G37" s="3"/>
      <c r="H37" s="3"/>
      <c r="I37" s="3"/>
      <c r="J37" s="3"/>
      <c r="K37" s="3"/>
      <c r="L37" s="3"/>
      <c r="M37" s="3"/>
      <c r="N37" s="3"/>
      <c r="O37" s="3"/>
      <c r="P37" s="24"/>
      <c r="Q37" s="24"/>
      <c r="R37" s="24"/>
      <c r="S37" s="24"/>
      <c r="T37" s="24"/>
      <c r="U37" s="2"/>
    </row>
    <row r="38" spans="1:21" x14ac:dyDescent="0.3">
      <c r="A38" s="3"/>
      <c r="B38" s="3"/>
      <c r="C38" s="3"/>
      <c r="D38" s="3"/>
      <c r="E38" s="3"/>
      <c r="F38" s="3"/>
      <c r="G38" s="3"/>
      <c r="H38" s="3"/>
      <c r="I38" s="3"/>
      <c r="J38" s="3"/>
      <c r="K38" s="3"/>
      <c r="L38" s="3"/>
      <c r="M38" s="3"/>
      <c r="N38" s="3"/>
      <c r="O38" s="3"/>
      <c r="P38" s="24"/>
      <c r="Q38" s="24"/>
      <c r="R38" s="24"/>
      <c r="S38" s="24"/>
      <c r="T38" s="24"/>
      <c r="U38" s="2"/>
    </row>
    <row r="39" spans="1:21" x14ac:dyDescent="0.3">
      <c r="A39" s="3"/>
      <c r="B39" s="3"/>
      <c r="C39" s="3"/>
      <c r="D39" s="3"/>
      <c r="E39" s="3"/>
      <c r="F39" s="3"/>
      <c r="G39" s="3"/>
      <c r="H39" s="3"/>
      <c r="I39" s="3"/>
      <c r="J39" s="3"/>
      <c r="K39" s="3"/>
      <c r="L39" s="3"/>
      <c r="M39" s="3"/>
      <c r="N39" s="3"/>
      <c r="O39" s="3"/>
      <c r="P39" s="24"/>
      <c r="Q39" s="24"/>
      <c r="R39" s="24"/>
      <c r="S39" s="24"/>
      <c r="T39" s="24"/>
      <c r="U39" s="2"/>
    </row>
    <row r="40" spans="1:21" x14ac:dyDescent="0.3">
      <c r="A40" s="3"/>
      <c r="B40" s="3"/>
      <c r="C40" s="3"/>
      <c r="D40" s="3"/>
      <c r="E40" s="3"/>
      <c r="F40" s="3"/>
      <c r="G40" s="3"/>
      <c r="H40" s="3"/>
      <c r="I40" s="3"/>
      <c r="J40" s="3"/>
      <c r="K40" s="3"/>
      <c r="L40" s="3"/>
      <c r="M40" s="3"/>
      <c r="N40" s="3"/>
      <c r="O40" s="3"/>
      <c r="P40" s="24"/>
      <c r="Q40" s="24"/>
      <c r="R40" s="24"/>
      <c r="S40" s="24"/>
      <c r="T40" s="24"/>
      <c r="U40" s="2"/>
    </row>
    <row r="41" spans="1:21" x14ac:dyDescent="0.3">
      <c r="A41" s="3"/>
      <c r="B41" s="3"/>
      <c r="C41" s="3"/>
      <c r="D41" s="3"/>
      <c r="E41" s="3"/>
      <c r="F41" s="3"/>
      <c r="G41" s="3"/>
      <c r="H41" s="3"/>
      <c r="I41" s="3"/>
      <c r="J41" s="3"/>
      <c r="K41" s="3"/>
      <c r="L41" s="3"/>
      <c r="M41" s="3"/>
      <c r="N41" s="3"/>
      <c r="O41" s="3"/>
      <c r="P41" s="24"/>
      <c r="Q41" s="24"/>
      <c r="R41" s="24"/>
      <c r="S41" s="24"/>
      <c r="T41" s="24"/>
      <c r="U41" s="2"/>
    </row>
    <row r="42" spans="1:21" x14ac:dyDescent="0.3">
      <c r="A42" s="3"/>
      <c r="B42" s="3"/>
      <c r="C42" s="3"/>
      <c r="D42" s="3"/>
      <c r="E42" s="3"/>
      <c r="F42" s="3"/>
      <c r="G42" s="3"/>
      <c r="H42" s="3"/>
      <c r="I42" s="3"/>
      <c r="J42" s="3"/>
      <c r="K42" s="3"/>
      <c r="L42" s="3"/>
      <c r="M42" s="3"/>
      <c r="N42" s="3"/>
      <c r="O42" s="3"/>
      <c r="P42" s="24"/>
      <c r="Q42" s="24"/>
      <c r="R42" s="24"/>
      <c r="S42" s="24"/>
      <c r="T42" s="24"/>
      <c r="U42" s="2"/>
    </row>
    <row r="43" spans="1:21" x14ac:dyDescent="0.3">
      <c r="A43" s="3"/>
      <c r="B43" s="3"/>
      <c r="C43" s="3"/>
      <c r="D43" s="3"/>
      <c r="E43" s="3"/>
      <c r="F43" s="3"/>
      <c r="G43" s="3"/>
      <c r="H43" s="3"/>
      <c r="I43" s="3"/>
      <c r="J43" s="3"/>
      <c r="K43" s="3"/>
      <c r="L43" s="3"/>
      <c r="M43" s="3"/>
      <c r="N43" s="3"/>
      <c r="O43" s="3"/>
      <c r="P43" s="24"/>
      <c r="Q43" s="24"/>
      <c r="R43" s="24"/>
      <c r="S43" s="24"/>
      <c r="T43" s="24"/>
      <c r="U43" s="2"/>
    </row>
    <row r="44" spans="1:21" x14ac:dyDescent="0.3">
      <c r="A44" s="24"/>
      <c r="B44" s="24"/>
      <c r="C44" s="24"/>
      <c r="D44" s="24"/>
      <c r="E44" s="24"/>
      <c r="F44" s="24"/>
      <c r="G44" s="24"/>
      <c r="H44" s="24"/>
      <c r="I44" s="24"/>
      <c r="J44" s="24"/>
      <c r="K44" s="24"/>
      <c r="L44" s="24"/>
      <c r="M44" s="24"/>
      <c r="N44" s="24"/>
      <c r="O44" s="24"/>
      <c r="P44" s="24"/>
      <c r="Q44" s="24"/>
      <c r="R44" s="24"/>
      <c r="S44" s="24"/>
      <c r="T44" s="24"/>
      <c r="U44" s="2"/>
    </row>
    <row r="45" spans="1:21" x14ac:dyDescent="0.3">
      <c r="A45" s="24"/>
      <c r="B45" s="24"/>
      <c r="C45" s="24"/>
      <c r="D45" s="24"/>
      <c r="E45" s="24"/>
      <c r="F45" s="24"/>
      <c r="G45" s="24"/>
      <c r="H45" s="24"/>
      <c r="I45" s="24"/>
      <c r="J45" s="24"/>
      <c r="K45" s="24"/>
      <c r="L45" s="24"/>
      <c r="M45" s="24"/>
      <c r="N45" s="24"/>
      <c r="O45" s="24"/>
      <c r="P45" s="24"/>
      <c r="Q45" s="24"/>
      <c r="R45" s="24"/>
      <c r="S45" s="24"/>
      <c r="T45" s="24"/>
      <c r="U45" s="2"/>
    </row>
    <row r="46" spans="1:21" x14ac:dyDescent="0.3">
      <c r="A46" s="24"/>
      <c r="B46" s="24"/>
      <c r="C46" s="24"/>
      <c r="D46" s="24"/>
      <c r="E46" s="24"/>
      <c r="F46" s="24"/>
      <c r="G46" s="24"/>
      <c r="H46" s="24"/>
      <c r="I46" s="24"/>
      <c r="J46" s="24"/>
      <c r="K46" s="24"/>
      <c r="L46" s="24"/>
      <c r="M46" s="24"/>
      <c r="N46" s="24"/>
      <c r="O46" s="24"/>
      <c r="P46" s="24"/>
      <c r="Q46" s="24"/>
      <c r="R46" s="24"/>
      <c r="S46" s="24"/>
      <c r="T46" s="24"/>
      <c r="U46" s="2"/>
    </row>
    <row r="47" spans="1:21" x14ac:dyDescent="0.3">
      <c r="A47" s="24"/>
      <c r="B47" s="24"/>
      <c r="C47" s="24"/>
      <c r="D47" s="24"/>
      <c r="E47" s="24"/>
      <c r="F47" s="24"/>
      <c r="G47" s="24"/>
      <c r="H47" s="24"/>
      <c r="I47" s="24"/>
      <c r="J47" s="24"/>
      <c r="K47" s="24"/>
      <c r="L47" s="24"/>
      <c r="M47" s="24"/>
      <c r="N47" s="24"/>
      <c r="O47" s="24"/>
      <c r="P47" s="24"/>
      <c r="Q47" s="24"/>
      <c r="R47" s="24"/>
      <c r="S47" s="24"/>
      <c r="T47" s="24"/>
      <c r="U47" s="2"/>
    </row>
    <row r="48" spans="1:21" x14ac:dyDescent="0.3">
      <c r="A48" s="24"/>
      <c r="B48" s="24"/>
      <c r="C48" s="24"/>
      <c r="D48" s="24"/>
      <c r="E48" s="24"/>
      <c r="F48" s="24"/>
      <c r="G48" s="24"/>
      <c r="H48" s="24"/>
      <c r="I48" s="24"/>
      <c r="J48" s="24"/>
      <c r="K48" s="24"/>
      <c r="L48" s="24"/>
      <c r="M48" s="24"/>
      <c r="N48" s="24"/>
      <c r="O48" s="24"/>
      <c r="P48" s="24"/>
      <c r="Q48" s="24"/>
      <c r="R48" s="24"/>
      <c r="S48" s="24"/>
      <c r="T48" s="24"/>
      <c r="U48" s="2"/>
    </row>
    <row r="49" spans="1:21" x14ac:dyDescent="0.3">
      <c r="A49" s="24"/>
      <c r="B49" s="24"/>
      <c r="C49" s="24"/>
      <c r="D49" s="24"/>
      <c r="E49" s="24"/>
      <c r="F49" s="24"/>
      <c r="G49" s="24"/>
      <c r="H49" s="24"/>
      <c r="I49" s="24"/>
      <c r="J49" s="24"/>
      <c r="K49" s="24"/>
      <c r="L49" s="24"/>
      <c r="M49" s="24"/>
      <c r="N49" s="24"/>
      <c r="O49" s="24"/>
      <c r="P49" s="24"/>
      <c r="Q49" s="24"/>
      <c r="R49" s="24"/>
      <c r="S49" s="24"/>
      <c r="T49" s="24"/>
      <c r="U49" s="2"/>
    </row>
  </sheetData>
  <sheetProtection algorithmName="SHA-512" hashValue="ArxpbeZmC8JASG1peXMpm0JDOMoM10F5PFDq7mP1T9PNKumeJxO8bkR5l5UoLACBEpXEZ8HwyB5kBG2QOMdaPQ==" saltValue="SWDEZtUdZTb/oETYglE2vQ==" spinCount="100000" sheet="1" objects="1" scenarios="1"/>
  <pageMargins left="0.7" right="0.7" top="0.78740157499999996" bottom="0.78740157499999996"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4"/>
  <sheetViews>
    <sheetView workbookViewId="0">
      <selection activeCell="H14" sqref="H14"/>
    </sheetView>
  </sheetViews>
  <sheetFormatPr baseColWidth="10" defaultRowHeight="14.4" x14ac:dyDescent="0.3"/>
  <cols>
    <col min="1" max="5" width="11.5546875" style="1"/>
    <col min="6" max="6" width="11.5546875" style="1" customWidth="1"/>
    <col min="7" max="7" width="11.21875" style="1" customWidth="1"/>
    <col min="8" max="8" width="45.21875" style="1" customWidth="1"/>
    <col min="9" max="16384" width="11.5546875" style="1"/>
  </cols>
  <sheetData>
    <row r="1" spans="1:17" x14ac:dyDescent="0.3">
      <c r="A1" s="9"/>
      <c r="B1" s="10"/>
      <c r="C1" s="10"/>
      <c r="D1" s="10"/>
      <c r="E1" s="10"/>
      <c r="F1" s="21"/>
      <c r="G1" s="22"/>
      <c r="H1" s="22"/>
      <c r="I1" s="20"/>
      <c r="J1" s="20"/>
      <c r="K1" s="20">
        <v>12000</v>
      </c>
      <c r="L1" s="20"/>
      <c r="M1" s="20">
        <v>1</v>
      </c>
      <c r="N1" s="20"/>
      <c r="O1" s="20"/>
      <c r="P1" s="20"/>
      <c r="Q1" s="20"/>
    </row>
    <row r="2" spans="1:17" x14ac:dyDescent="0.3">
      <c r="A2" s="11"/>
      <c r="B2" s="5"/>
      <c r="C2" s="5"/>
      <c r="D2" s="5"/>
      <c r="E2" s="5"/>
      <c r="F2" s="21"/>
      <c r="G2" s="22"/>
      <c r="H2" s="22"/>
      <c r="I2" s="20"/>
      <c r="J2" s="20"/>
      <c r="K2" s="20">
        <v>6000</v>
      </c>
      <c r="L2" s="20"/>
      <c r="M2" s="20">
        <v>2</v>
      </c>
      <c r="N2" s="20"/>
      <c r="O2" s="20"/>
      <c r="P2" s="20"/>
      <c r="Q2" s="20"/>
    </row>
    <row r="3" spans="1:17" x14ac:dyDescent="0.3">
      <c r="A3" s="11"/>
      <c r="B3" s="5"/>
      <c r="C3" s="5"/>
      <c r="D3" s="5"/>
      <c r="E3" s="5"/>
      <c r="F3" s="21"/>
      <c r="G3" s="22"/>
      <c r="H3" s="22"/>
      <c r="I3" s="20"/>
      <c r="J3" s="20"/>
      <c r="K3" s="20">
        <v>2000</v>
      </c>
      <c r="L3" s="20"/>
      <c r="M3" s="20">
        <v>2.5</v>
      </c>
      <c r="N3" s="20"/>
      <c r="O3" s="20"/>
      <c r="P3" s="20"/>
      <c r="Q3" s="20"/>
    </row>
    <row r="4" spans="1:17" x14ac:dyDescent="0.3">
      <c r="A4" s="73" t="s">
        <v>18</v>
      </c>
      <c r="B4" s="74"/>
      <c r="C4" s="74"/>
      <c r="D4" s="74"/>
      <c r="E4" s="74"/>
      <c r="F4" s="21"/>
      <c r="G4" s="22"/>
      <c r="H4" s="22"/>
      <c r="I4" s="20"/>
      <c r="J4" s="20"/>
      <c r="K4" s="20">
        <v>13500</v>
      </c>
      <c r="L4" s="20"/>
      <c r="M4" s="20">
        <v>4.5</v>
      </c>
      <c r="N4" s="20"/>
      <c r="O4" s="20"/>
      <c r="P4" s="20"/>
      <c r="Q4" s="20"/>
    </row>
    <row r="5" spans="1:17" x14ac:dyDescent="0.3">
      <c r="A5" s="12" t="s">
        <v>17</v>
      </c>
      <c r="B5" s="8" t="s">
        <v>13</v>
      </c>
      <c r="C5" s="8" t="s">
        <v>14</v>
      </c>
      <c r="D5" s="8" t="s">
        <v>15</v>
      </c>
      <c r="E5" s="8" t="s">
        <v>16</v>
      </c>
      <c r="F5" s="21"/>
      <c r="G5" s="22"/>
      <c r="H5" s="22"/>
      <c r="I5" s="20"/>
      <c r="J5" s="20"/>
      <c r="K5" s="20">
        <v>16000</v>
      </c>
      <c r="L5" s="20"/>
      <c r="M5" s="20">
        <v>5</v>
      </c>
      <c r="N5" s="20"/>
      <c r="O5" s="20"/>
      <c r="P5" s="20"/>
      <c r="Q5" s="20"/>
    </row>
    <row r="6" spans="1:17" x14ac:dyDescent="0.3">
      <c r="A6" s="13">
        <v>12000</v>
      </c>
      <c r="B6" s="4"/>
      <c r="C6" s="4"/>
      <c r="D6" s="4"/>
      <c r="E6" s="4"/>
      <c r="F6" s="21"/>
      <c r="G6" s="22"/>
      <c r="H6" s="22">
        <v>12000</v>
      </c>
      <c r="I6" s="20"/>
      <c r="J6" s="20"/>
      <c r="K6" s="20">
        <v>20000</v>
      </c>
      <c r="L6" s="20"/>
      <c r="M6" s="20">
        <v>6</v>
      </c>
      <c r="N6" s="20"/>
      <c r="O6" s="20"/>
      <c r="P6" s="20"/>
      <c r="Q6" s="20"/>
    </row>
    <row r="7" spans="1:17" x14ac:dyDescent="0.3">
      <c r="A7" s="13">
        <v>6000</v>
      </c>
      <c r="B7" s="4"/>
      <c r="C7" s="4"/>
      <c r="D7" s="4"/>
      <c r="E7" s="4"/>
      <c r="F7" s="21"/>
      <c r="G7" s="22"/>
      <c r="H7" s="22">
        <v>6000</v>
      </c>
      <c r="I7" s="20"/>
      <c r="J7" s="20"/>
      <c r="K7" s="20">
        <v>4200</v>
      </c>
      <c r="L7" s="20"/>
      <c r="M7" s="20"/>
      <c r="N7" s="20"/>
      <c r="O7" s="20"/>
      <c r="P7" s="20"/>
      <c r="Q7" s="20"/>
    </row>
    <row r="8" spans="1:17" x14ac:dyDescent="0.3">
      <c r="A8" s="13">
        <v>2000</v>
      </c>
      <c r="B8" s="4"/>
      <c r="C8" s="4"/>
      <c r="D8" s="4"/>
      <c r="E8" s="4"/>
      <c r="F8" s="21"/>
      <c r="G8" s="22"/>
      <c r="H8" s="22">
        <v>2000</v>
      </c>
      <c r="I8" s="20"/>
      <c r="J8" s="20"/>
      <c r="K8" s="20">
        <v>3800</v>
      </c>
      <c r="L8" s="20"/>
      <c r="M8" s="20"/>
      <c r="N8" s="20"/>
      <c r="O8" s="20"/>
      <c r="P8" s="20"/>
      <c r="Q8" s="20"/>
    </row>
    <row r="9" spans="1:17" x14ac:dyDescent="0.3">
      <c r="A9" s="13">
        <v>13500</v>
      </c>
      <c r="B9" s="4"/>
      <c r="C9" s="4"/>
      <c r="D9" s="4"/>
      <c r="E9" s="4"/>
      <c r="F9" s="21"/>
      <c r="G9" s="22"/>
      <c r="H9" s="22">
        <v>13500</v>
      </c>
      <c r="I9" s="20"/>
      <c r="J9" s="20"/>
      <c r="K9" s="20">
        <v>14300</v>
      </c>
      <c r="L9" s="20"/>
      <c r="M9" s="20"/>
      <c r="N9" s="20"/>
      <c r="O9" s="20"/>
      <c r="P9" s="20"/>
      <c r="Q9" s="20"/>
    </row>
    <row r="10" spans="1:17" x14ac:dyDescent="0.3">
      <c r="A10" s="13">
        <v>16000</v>
      </c>
      <c r="B10" s="4"/>
      <c r="C10" s="4"/>
      <c r="D10" s="4"/>
      <c r="E10" s="4"/>
      <c r="F10" s="21"/>
      <c r="G10" s="22"/>
      <c r="H10" s="22">
        <v>16000</v>
      </c>
      <c r="I10" s="20"/>
      <c r="J10" s="20"/>
      <c r="K10" s="20">
        <v>12900</v>
      </c>
      <c r="L10" s="20"/>
      <c r="M10" s="20"/>
      <c r="N10" s="20"/>
      <c r="O10" s="20"/>
      <c r="P10" s="20"/>
      <c r="Q10" s="20"/>
    </row>
    <row r="11" spans="1:17" x14ac:dyDescent="0.3">
      <c r="A11" s="13">
        <v>20000</v>
      </c>
      <c r="B11" s="4"/>
      <c r="C11" s="4"/>
      <c r="D11" s="4"/>
      <c r="E11" s="4"/>
      <c r="F11" s="21"/>
      <c r="G11" s="22"/>
      <c r="H11" s="22">
        <v>20000</v>
      </c>
      <c r="I11" s="20"/>
      <c r="J11" s="20"/>
      <c r="K11" s="20">
        <v>940</v>
      </c>
      <c r="L11" s="20"/>
      <c r="M11" s="20"/>
      <c r="N11" s="20"/>
      <c r="O11" s="20"/>
      <c r="P11" s="20"/>
      <c r="Q11" s="20"/>
    </row>
    <row r="12" spans="1:17" x14ac:dyDescent="0.3">
      <c r="A12" s="14">
        <v>14000</v>
      </c>
      <c r="B12" s="4"/>
      <c r="C12" s="4"/>
      <c r="D12" s="4"/>
      <c r="E12" s="4"/>
      <c r="F12" s="21"/>
      <c r="H12" s="22">
        <v>14000</v>
      </c>
      <c r="I12" s="20"/>
      <c r="J12" s="20"/>
      <c r="K12" s="20">
        <v>-10000</v>
      </c>
      <c r="L12" s="20"/>
      <c r="M12" s="20"/>
      <c r="N12" s="20"/>
      <c r="O12" s="20"/>
      <c r="P12" s="20"/>
      <c r="Q12" s="20"/>
    </row>
    <row r="13" spans="1:17" x14ac:dyDescent="0.3">
      <c r="A13" s="15">
        <v>18200</v>
      </c>
      <c r="B13" s="4"/>
      <c r="C13" s="4"/>
      <c r="D13" s="4"/>
      <c r="E13" s="4"/>
      <c r="F13" s="21"/>
      <c r="H13" s="22">
        <v>18200</v>
      </c>
      <c r="I13" s="20"/>
      <c r="J13" s="20"/>
      <c r="K13" s="20"/>
      <c r="L13" s="20"/>
      <c r="M13" s="20"/>
      <c r="N13" s="20"/>
      <c r="O13" s="20"/>
      <c r="P13" s="20"/>
      <c r="Q13" s="20"/>
    </row>
    <row r="14" spans="1:17" x14ac:dyDescent="0.3">
      <c r="A14" s="15">
        <v>16100</v>
      </c>
      <c r="B14" s="4"/>
      <c r="C14" s="4"/>
      <c r="D14" s="4"/>
      <c r="E14" s="4"/>
      <c r="F14" s="21"/>
      <c r="H14" s="22">
        <v>16100</v>
      </c>
      <c r="I14" s="20"/>
      <c r="J14" s="20"/>
      <c r="K14" s="20"/>
      <c r="L14" s="20"/>
      <c r="M14" s="20"/>
      <c r="N14" s="20"/>
      <c r="O14" s="20"/>
      <c r="P14" s="20"/>
      <c r="Q14" s="20"/>
    </row>
    <row r="15" spans="1:17" x14ac:dyDescent="0.3">
      <c r="A15" s="15">
        <v>9400</v>
      </c>
      <c r="B15" s="4"/>
      <c r="C15" s="4"/>
      <c r="D15" s="4"/>
      <c r="E15" s="4"/>
      <c r="F15" s="21"/>
      <c r="H15" s="22">
        <v>9400</v>
      </c>
      <c r="I15" s="20"/>
      <c r="J15" s="20"/>
      <c r="K15" s="20"/>
      <c r="L15" s="20"/>
      <c r="M15" s="20"/>
      <c r="N15" s="20"/>
      <c r="O15" s="20"/>
      <c r="P15" s="20"/>
      <c r="Q15" s="20"/>
    </row>
    <row r="16" spans="1:17" x14ac:dyDescent="0.3">
      <c r="A16" s="15">
        <v>5000</v>
      </c>
      <c r="B16" s="4"/>
      <c r="C16" s="4"/>
      <c r="D16" s="4"/>
      <c r="E16" s="4"/>
      <c r="F16" s="21"/>
      <c r="H16" s="22">
        <v>5000</v>
      </c>
      <c r="I16" s="20"/>
      <c r="J16" s="20"/>
      <c r="K16" s="20"/>
      <c r="L16" s="20"/>
      <c r="M16" s="20"/>
      <c r="N16" s="20"/>
      <c r="O16" s="20"/>
      <c r="P16" s="20"/>
      <c r="Q16" s="20"/>
    </row>
    <row r="17" spans="1:17" x14ac:dyDescent="0.3">
      <c r="A17" s="15">
        <v>19500</v>
      </c>
      <c r="B17" s="4"/>
      <c r="C17" s="4"/>
      <c r="D17" s="4"/>
      <c r="E17" s="4"/>
      <c r="F17" s="21"/>
      <c r="H17" s="22">
        <v>19500</v>
      </c>
      <c r="I17" s="20"/>
      <c r="J17" s="20"/>
      <c r="K17" s="20"/>
      <c r="L17" s="20"/>
      <c r="M17" s="20"/>
      <c r="N17" s="20"/>
      <c r="O17" s="20"/>
      <c r="P17" s="20"/>
      <c r="Q17" s="20"/>
    </row>
    <row r="18" spans="1:17" x14ac:dyDescent="0.3">
      <c r="A18" s="15">
        <v>17000</v>
      </c>
      <c r="B18" s="4"/>
      <c r="C18" s="4"/>
      <c r="D18" s="4"/>
      <c r="E18" s="4"/>
      <c r="F18" s="21"/>
      <c r="H18" s="22">
        <v>17000</v>
      </c>
      <c r="I18" s="20"/>
      <c r="J18" s="20"/>
      <c r="K18" s="20"/>
      <c r="L18" s="20"/>
      <c r="M18" s="20"/>
      <c r="N18" s="20"/>
      <c r="O18" s="20"/>
      <c r="P18" s="20"/>
      <c r="Q18" s="20"/>
    </row>
    <row r="19" spans="1:17" x14ac:dyDescent="0.3">
      <c r="A19" s="15"/>
      <c r="B19" s="4"/>
      <c r="C19" s="4"/>
      <c r="D19" s="4"/>
      <c r="E19" s="4"/>
      <c r="F19" s="21"/>
      <c r="G19" s="22"/>
      <c r="H19" s="22"/>
      <c r="I19" s="20"/>
      <c r="J19" s="20"/>
      <c r="K19" s="20"/>
      <c r="L19" s="20"/>
      <c r="M19" s="20"/>
      <c r="N19" s="20"/>
      <c r="O19" s="20"/>
      <c r="P19" s="20"/>
      <c r="Q19" s="20"/>
    </row>
    <row r="20" spans="1:17" x14ac:dyDescent="0.3">
      <c r="A20" s="15"/>
      <c r="B20" s="4"/>
      <c r="C20" s="4"/>
      <c r="D20" s="4"/>
      <c r="E20" s="4"/>
      <c r="F20" s="21"/>
      <c r="G20" s="22"/>
      <c r="H20" s="22"/>
      <c r="I20" s="20"/>
      <c r="J20" s="20"/>
      <c r="K20" s="20"/>
      <c r="L20" s="20"/>
      <c r="M20" s="20"/>
      <c r="N20" s="20"/>
      <c r="O20" s="20"/>
      <c r="P20" s="20"/>
      <c r="Q20" s="20"/>
    </row>
    <row r="21" spans="1:17" x14ac:dyDescent="0.3">
      <c r="A21" s="15"/>
      <c r="B21" s="4"/>
      <c r="C21" s="4"/>
      <c r="D21" s="4"/>
      <c r="E21" s="4"/>
      <c r="F21" s="21"/>
      <c r="G21" s="22"/>
      <c r="H21" s="22"/>
      <c r="I21" s="20"/>
      <c r="J21" s="20"/>
      <c r="K21" s="20"/>
      <c r="L21" s="20"/>
      <c r="M21" s="20"/>
      <c r="N21" s="20"/>
      <c r="O21" s="20"/>
      <c r="P21" s="20"/>
      <c r="Q21" s="20"/>
    </row>
    <row r="22" spans="1:17" x14ac:dyDescent="0.3">
      <c r="A22" s="15"/>
      <c r="B22" s="4"/>
      <c r="C22" s="4"/>
      <c r="D22" s="4"/>
      <c r="E22" s="4"/>
      <c r="F22" s="21"/>
      <c r="G22" s="22"/>
      <c r="H22" s="22"/>
      <c r="I22" s="20"/>
      <c r="J22" s="20"/>
      <c r="K22" s="20"/>
      <c r="L22" s="20"/>
      <c r="M22" s="20"/>
      <c r="N22" s="20"/>
      <c r="O22" s="20"/>
      <c r="P22" s="20"/>
      <c r="Q22" s="20"/>
    </row>
    <row r="23" spans="1:17" x14ac:dyDescent="0.3">
      <c r="A23" s="15"/>
      <c r="B23" s="4"/>
      <c r="C23" s="4"/>
      <c r="D23" s="4"/>
      <c r="E23" s="4"/>
      <c r="F23" s="21"/>
      <c r="G23" s="22"/>
      <c r="H23" s="22"/>
      <c r="I23" s="20"/>
      <c r="J23" s="20"/>
      <c r="K23" s="20"/>
      <c r="L23" s="20"/>
      <c r="M23" s="20"/>
      <c r="N23" s="20"/>
      <c r="O23" s="20"/>
      <c r="P23" s="20"/>
      <c r="Q23" s="20"/>
    </row>
    <row r="24" spans="1:17" x14ac:dyDescent="0.3">
      <c r="A24" s="15"/>
      <c r="B24" s="4"/>
      <c r="C24" s="4"/>
      <c r="D24" s="4"/>
      <c r="E24" s="4"/>
      <c r="F24" s="21"/>
      <c r="G24" s="22"/>
      <c r="H24" s="22"/>
      <c r="I24" s="20"/>
      <c r="J24" s="20"/>
      <c r="K24" s="20"/>
      <c r="L24" s="20"/>
      <c r="M24" s="20"/>
      <c r="N24" s="20"/>
      <c r="O24" s="20"/>
      <c r="P24" s="20"/>
      <c r="Q24" s="20"/>
    </row>
    <row r="25" spans="1:17" x14ac:dyDescent="0.3">
      <c r="A25" s="15"/>
      <c r="B25" s="4"/>
      <c r="C25" s="4"/>
      <c r="D25" s="4"/>
      <c r="E25" s="4"/>
      <c r="F25" s="21"/>
      <c r="G25" s="22"/>
      <c r="H25" s="22"/>
      <c r="I25" s="20"/>
      <c r="J25" s="20"/>
      <c r="K25" s="20"/>
      <c r="L25" s="20"/>
      <c r="M25" s="20"/>
      <c r="N25" s="20"/>
      <c r="O25" s="20"/>
      <c r="P25" s="20"/>
      <c r="Q25" s="20"/>
    </row>
    <row r="26" spans="1:17" x14ac:dyDescent="0.3">
      <c r="A26" s="23"/>
      <c r="B26" s="5"/>
      <c r="C26" s="5"/>
      <c r="D26" s="5"/>
      <c r="E26" s="5"/>
      <c r="F26" s="21"/>
      <c r="G26" s="22"/>
      <c r="H26" s="22"/>
      <c r="I26" s="20"/>
      <c r="J26" s="20"/>
      <c r="K26" s="20"/>
      <c r="L26" s="20"/>
      <c r="M26" s="20"/>
      <c r="N26" s="20"/>
      <c r="O26" s="20"/>
      <c r="P26" s="20"/>
      <c r="Q26" s="20"/>
    </row>
    <row r="27" spans="1:17" x14ac:dyDescent="0.3">
      <c r="A27" s="16"/>
      <c r="B27" s="6" t="s">
        <v>24</v>
      </c>
      <c r="C27" s="6"/>
      <c r="D27" s="6"/>
      <c r="E27" s="6"/>
      <c r="F27" s="21"/>
      <c r="G27" s="22"/>
      <c r="H27" s="22"/>
      <c r="I27" s="20"/>
      <c r="J27" s="20"/>
      <c r="K27" s="20"/>
      <c r="L27" s="20"/>
      <c r="M27" s="20"/>
      <c r="N27" s="20"/>
      <c r="O27" s="20"/>
      <c r="P27" s="20"/>
      <c r="Q27" s="20"/>
    </row>
    <row r="28" spans="1:17" x14ac:dyDescent="0.3">
      <c r="A28" s="17" t="s">
        <v>11</v>
      </c>
      <c r="B28" s="5" t="s">
        <v>23</v>
      </c>
      <c r="C28" s="5"/>
      <c r="D28" s="5"/>
      <c r="E28" s="5"/>
      <c r="F28" s="21"/>
      <c r="G28" s="22"/>
      <c r="H28" s="22"/>
      <c r="I28" s="20"/>
      <c r="J28" s="20"/>
      <c r="K28" s="20"/>
      <c r="L28" s="20"/>
      <c r="M28" s="20"/>
      <c r="N28" s="20"/>
      <c r="O28" s="20"/>
      <c r="P28" s="20"/>
      <c r="Q28" s="20"/>
    </row>
    <row r="29" spans="1:17" x14ac:dyDescent="0.3">
      <c r="A29" s="11"/>
      <c r="B29" s="5" t="s">
        <v>25</v>
      </c>
      <c r="C29" s="5"/>
      <c r="D29" s="5"/>
      <c r="E29" s="5"/>
      <c r="F29" s="21"/>
      <c r="G29" s="22"/>
      <c r="H29" s="22"/>
      <c r="I29" s="20"/>
      <c r="J29" s="20"/>
      <c r="K29" s="20"/>
      <c r="L29" s="20"/>
      <c r="M29" s="20"/>
      <c r="N29" s="20"/>
      <c r="O29" s="20"/>
      <c r="P29" s="20"/>
      <c r="Q29" s="20"/>
    </row>
    <row r="30" spans="1:17" x14ac:dyDescent="0.3">
      <c r="A30" s="11"/>
      <c r="B30" s="5" t="s">
        <v>21</v>
      </c>
      <c r="C30" s="5"/>
      <c r="D30" s="5"/>
      <c r="E30" s="5"/>
      <c r="F30" s="21"/>
      <c r="G30" s="22"/>
      <c r="H30" s="22"/>
      <c r="I30" s="20"/>
      <c r="J30" s="20"/>
      <c r="K30" s="20"/>
      <c r="L30" s="20"/>
      <c r="M30" s="20"/>
      <c r="N30" s="20"/>
      <c r="O30" s="20"/>
      <c r="P30" s="20"/>
      <c r="Q30" s="20"/>
    </row>
    <row r="31" spans="1:17" x14ac:dyDescent="0.3">
      <c r="A31" s="11"/>
      <c r="B31" s="5" t="s">
        <v>22</v>
      </c>
      <c r="C31" s="5"/>
      <c r="D31" s="7" t="s">
        <v>41</v>
      </c>
      <c r="E31" s="5"/>
      <c r="F31" s="21"/>
      <c r="G31" s="22"/>
      <c r="H31" s="22"/>
      <c r="I31" s="20"/>
      <c r="J31" s="20"/>
      <c r="K31" s="20"/>
      <c r="L31" s="20"/>
      <c r="M31" s="20"/>
      <c r="N31" s="20"/>
      <c r="O31" s="20"/>
      <c r="P31" s="20"/>
      <c r="Q31" s="20"/>
    </row>
    <row r="32" spans="1:17" ht="15" thickBot="1" x14ac:dyDescent="0.35">
      <c r="A32" s="18"/>
      <c r="B32" s="19" t="s">
        <v>42</v>
      </c>
      <c r="C32" s="19"/>
      <c r="D32" s="19"/>
      <c r="E32" s="19"/>
      <c r="F32" s="21"/>
      <c r="G32" s="22"/>
      <c r="H32" s="22"/>
      <c r="I32" s="20"/>
      <c r="J32" s="20"/>
      <c r="K32" s="20"/>
      <c r="L32" s="20"/>
      <c r="M32" s="20"/>
      <c r="N32" s="20"/>
      <c r="O32" s="20"/>
      <c r="P32" s="20"/>
      <c r="Q32" s="20"/>
    </row>
    <row r="33" spans="1:17" x14ac:dyDescent="0.3">
      <c r="A33" s="25"/>
      <c r="B33" s="25"/>
      <c r="C33" s="25"/>
      <c r="D33" s="25"/>
      <c r="E33" s="25"/>
      <c r="F33" s="22"/>
      <c r="G33" s="22"/>
      <c r="H33" s="22"/>
      <c r="I33" s="20"/>
      <c r="J33" s="20"/>
      <c r="K33" s="20"/>
      <c r="L33" s="20"/>
      <c r="M33" s="20"/>
      <c r="N33" s="20"/>
      <c r="O33" s="20"/>
      <c r="P33" s="20"/>
      <c r="Q33" s="20"/>
    </row>
    <row r="34" spans="1:17" x14ac:dyDescent="0.3">
      <c r="A34" s="20"/>
      <c r="B34" s="20"/>
      <c r="C34" s="20"/>
      <c r="D34" s="20"/>
      <c r="E34" s="20"/>
      <c r="F34" s="20"/>
      <c r="G34" s="20"/>
      <c r="H34" s="20"/>
      <c r="I34" s="20"/>
      <c r="J34" s="20"/>
      <c r="K34" s="20"/>
      <c r="L34" s="20"/>
      <c r="M34" s="20"/>
      <c r="N34" s="20"/>
      <c r="O34" s="20"/>
      <c r="P34" s="20"/>
      <c r="Q34" s="20"/>
    </row>
    <row r="35" spans="1:17" x14ac:dyDescent="0.3">
      <c r="A35" s="20"/>
      <c r="B35" s="20"/>
      <c r="C35" s="20"/>
      <c r="D35" s="20"/>
      <c r="E35" s="20"/>
      <c r="F35" s="20"/>
      <c r="G35" s="20"/>
      <c r="H35" s="20"/>
      <c r="I35" s="20"/>
      <c r="J35" s="20"/>
      <c r="K35" s="20"/>
      <c r="L35" s="20"/>
      <c r="M35" s="20"/>
      <c r="N35" s="20"/>
      <c r="O35" s="20"/>
      <c r="P35" s="20"/>
      <c r="Q35" s="20"/>
    </row>
    <row r="36" spans="1:17" x14ac:dyDescent="0.3">
      <c r="A36" s="20"/>
      <c r="B36" s="20"/>
      <c r="C36" s="20"/>
      <c r="D36" s="20"/>
      <c r="E36" s="20"/>
      <c r="F36" s="20"/>
      <c r="G36" s="20"/>
      <c r="H36" s="20"/>
      <c r="I36" s="20"/>
      <c r="J36" s="20"/>
      <c r="K36" s="20"/>
      <c r="L36" s="20"/>
      <c r="M36" s="20"/>
      <c r="N36" s="20"/>
      <c r="O36" s="20"/>
      <c r="P36" s="20"/>
      <c r="Q36" s="20"/>
    </row>
    <row r="37" spans="1:17" x14ac:dyDescent="0.3">
      <c r="A37" s="20"/>
      <c r="B37" s="20"/>
      <c r="C37" s="20"/>
      <c r="D37" s="20"/>
      <c r="E37" s="20"/>
      <c r="F37" s="20"/>
      <c r="G37" s="20"/>
      <c r="H37" s="20"/>
      <c r="I37" s="20"/>
      <c r="J37" s="20"/>
      <c r="K37" s="20"/>
      <c r="L37" s="20"/>
      <c r="M37" s="20"/>
      <c r="N37" s="20"/>
      <c r="O37" s="20"/>
      <c r="P37" s="20"/>
      <c r="Q37" s="20"/>
    </row>
    <row r="38" spans="1:17" x14ac:dyDescent="0.3">
      <c r="A38" s="20"/>
      <c r="B38" s="20"/>
      <c r="C38" s="20"/>
      <c r="D38" s="20"/>
      <c r="E38" s="20"/>
      <c r="F38" s="20"/>
      <c r="G38" s="20"/>
      <c r="H38" s="20"/>
      <c r="I38" s="20"/>
      <c r="J38" s="20"/>
      <c r="K38" s="20"/>
      <c r="L38" s="20"/>
      <c r="M38" s="20"/>
      <c r="N38" s="20"/>
      <c r="O38" s="20"/>
      <c r="P38" s="20"/>
      <c r="Q38" s="20"/>
    </row>
    <row r="39" spans="1:17" x14ac:dyDescent="0.3">
      <c r="A39" s="20"/>
      <c r="B39" s="20"/>
      <c r="C39" s="20"/>
      <c r="D39" s="20"/>
      <c r="E39" s="20"/>
      <c r="F39" s="20"/>
      <c r="G39" s="20"/>
      <c r="H39" s="20"/>
      <c r="I39" s="20"/>
      <c r="J39" s="20"/>
      <c r="K39" s="20"/>
      <c r="L39" s="20"/>
      <c r="M39" s="20"/>
      <c r="N39" s="20"/>
      <c r="O39" s="20"/>
      <c r="P39" s="20"/>
      <c r="Q39" s="20"/>
    </row>
    <row r="40" spans="1:17" x14ac:dyDescent="0.3">
      <c r="A40" s="20"/>
      <c r="B40" s="20"/>
      <c r="C40" s="20"/>
      <c r="D40" s="20"/>
      <c r="E40" s="20"/>
      <c r="F40" s="20"/>
      <c r="G40" s="20"/>
      <c r="H40" s="20"/>
      <c r="I40" s="20"/>
      <c r="J40" s="20"/>
      <c r="K40" s="20"/>
      <c r="L40" s="20"/>
      <c r="M40" s="20"/>
      <c r="N40" s="20"/>
      <c r="O40" s="20"/>
      <c r="P40" s="20"/>
      <c r="Q40" s="20"/>
    </row>
    <row r="41" spans="1:17" x14ac:dyDescent="0.3">
      <c r="A41" s="20"/>
      <c r="B41" s="20"/>
      <c r="C41" s="20"/>
      <c r="D41" s="20"/>
      <c r="E41" s="20"/>
      <c r="F41" s="20"/>
      <c r="G41" s="20"/>
      <c r="H41" s="20"/>
      <c r="I41" s="20"/>
      <c r="J41" s="20"/>
      <c r="K41" s="20"/>
      <c r="L41" s="20"/>
      <c r="M41" s="20"/>
      <c r="N41" s="20"/>
      <c r="O41" s="20"/>
      <c r="P41" s="20"/>
      <c r="Q41" s="20"/>
    </row>
    <row r="42" spans="1:17" x14ac:dyDescent="0.3">
      <c r="A42" s="20"/>
      <c r="B42" s="20"/>
      <c r="C42" s="20"/>
      <c r="D42" s="20"/>
      <c r="E42" s="20"/>
      <c r="F42" s="20"/>
      <c r="G42" s="20"/>
      <c r="H42" s="20"/>
      <c r="I42" s="20"/>
      <c r="J42" s="20"/>
      <c r="K42" s="20"/>
      <c r="L42" s="20"/>
      <c r="M42" s="20"/>
      <c r="N42" s="20"/>
      <c r="O42" s="20"/>
      <c r="P42" s="20"/>
      <c r="Q42" s="20"/>
    </row>
    <row r="43" spans="1:17" x14ac:dyDescent="0.3">
      <c r="A43" s="20"/>
      <c r="B43" s="20"/>
      <c r="C43" s="20"/>
      <c r="D43" s="20"/>
      <c r="E43" s="20"/>
      <c r="F43" s="20"/>
      <c r="G43" s="20"/>
      <c r="H43" s="20"/>
      <c r="I43" s="20"/>
      <c r="J43" s="20"/>
      <c r="K43" s="20"/>
      <c r="L43" s="20"/>
      <c r="M43" s="20"/>
      <c r="N43" s="20"/>
      <c r="O43" s="20"/>
      <c r="P43" s="20"/>
      <c r="Q43" s="20"/>
    </row>
    <row r="44" spans="1:17" x14ac:dyDescent="0.3">
      <c r="A44" s="20"/>
      <c r="B44" s="20"/>
      <c r="C44" s="20"/>
      <c r="D44" s="20"/>
      <c r="E44" s="20"/>
      <c r="F44" s="20"/>
      <c r="G44" s="20"/>
      <c r="H44" s="20"/>
      <c r="I44" s="20"/>
      <c r="J44" s="20"/>
      <c r="K44" s="20"/>
      <c r="L44" s="20"/>
      <c r="M44" s="20"/>
      <c r="N44" s="20"/>
      <c r="O44" s="20"/>
      <c r="P44" s="20"/>
      <c r="Q44" s="20"/>
    </row>
    <row r="45" spans="1:17" x14ac:dyDescent="0.3">
      <c r="A45" s="20"/>
      <c r="B45" s="20"/>
      <c r="C45" s="20"/>
      <c r="D45" s="20"/>
      <c r="E45" s="20"/>
      <c r="F45" s="20"/>
      <c r="G45" s="20"/>
      <c r="H45" s="20"/>
      <c r="I45" s="20"/>
      <c r="J45" s="20"/>
      <c r="K45" s="20"/>
      <c r="L45" s="20"/>
      <c r="M45" s="20"/>
      <c r="N45" s="20"/>
      <c r="O45" s="20"/>
      <c r="P45" s="20"/>
      <c r="Q45" s="20"/>
    </row>
    <row r="46" spans="1:17" x14ac:dyDescent="0.3">
      <c r="A46" s="20"/>
      <c r="B46" s="20"/>
      <c r="C46" s="20"/>
      <c r="D46" s="20"/>
      <c r="E46" s="20"/>
      <c r="F46" s="20"/>
      <c r="G46" s="20"/>
      <c r="H46" s="20"/>
      <c r="I46" s="20"/>
      <c r="J46" s="20"/>
      <c r="K46" s="20"/>
      <c r="L46" s="20"/>
      <c r="M46" s="20"/>
      <c r="N46" s="20"/>
      <c r="O46" s="20"/>
      <c r="P46" s="20"/>
      <c r="Q46" s="20"/>
    </row>
    <row r="47" spans="1:17" x14ac:dyDescent="0.3">
      <c r="A47" s="20"/>
      <c r="B47" s="20"/>
      <c r="C47" s="20"/>
      <c r="D47" s="20"/>
      <c r="E47" s="20"/>
      <c r="F47" s="20"/>
      <c r="G47" s="20"/>
      <c r="H47" s="20"/>
      <c r="I47" s="20"/>
      <c r="J47" s="20"/>
      <c r="K47" s="20"/>
      <c r="L47" s="20"/>
      <c r="M47" s="20"/>
      <c r="N47" s="20"/>
      <c r="O47" s="20"/>
      <c r="P47" s="20"/>
      <c r="Q47" s="20"/>
    </row>
    <row r="48" spans="1:17" x14ac:dyDescent="0.3">
      <c r="A48" s="20"/>
      <c r="B48" s="20"/>
      <c r="C48" s="20"/>
      <c r="D48" s="20"/>
      <c r="E48" s="20"/>
      <c r="F48" s="20"/>
      <c r="G48" s="20"/>
      <c r="H48" s="20"/>
      <c r="I48" s="20"/>
      <c r="J48" s="20"/>
      <c r="K48" s="20"/>
      <c r="L48" s="20"/>
      <c r="M48" s="20"/>
      <c r="N48" s="20"/>
      <c r="O48" s="20"/>
      <c r="P48" s="20"/>
      <c r="Q48" s="20"/>
    </row>
    <row r="49" spans="1:17" x14ac:dyDescent="0.3">
      <c r="A49" s="20"/>
      <c r="B49" s="20"/>
      <c r="C49" s="20"/>
      <c r="D49" s="20"/>
      <c r="E49" s="20"/>
      <c r="F49" s="20"/>
      <c r="G49" s="20"/>
      <c r="H49" s="20"/>
      <c r="I49" s="20"/>
      <c r="J49" s="20"/>
      <c r="K49" s="20"/>
      <c r="L49" s="20"/>
      <c r="M49" s="20"/>
      <c r="N49" s="20"/>
      <c r="O49" s="20"/>
      <c r="P49" s="20"/>
      <c r="Q49" s="20"/>
    </row>
    <row r="50" spans="1:17" x14ac:dyDescent="0.3">
      <c r="A50" s="20"/>
      <c r="B50" s="20"/>
      <c r="C50" s="20"/>
      <c r="D50" s="20"/>
      <c r="E50" s="20"/>
      <c r="F50" s="20"/>
      <c r="G50" s="20"/>
      <c r="H50" s="20"/>
      <c r="I50" s="20"/>
      <c r="J50" s="20"/>
      <c r="K50" s="20"/>
      <c r="L50" s="20"/>
      <c r="M50" s="20"/>
      <c r="N50" s="20"/>
      <c r="O50" s="20"/>
      <c r="P50" s="20"/>
      <c r="Q50" s="20"/>
    </row>
    <row r="51" spans="1:17" x14ac:dyDescent="0.3">
      <c r="A51" s="20"/>
      <c r="B51" s="20"/>
      <c r="C51" s="20"/>
      <c r="D51" s="20"/>
      <c r="E51" s="20"/>
      <c r="F51" s="20"/>
      <c r="G51" s="20"/>
      <c r="H51" s="20"/>
      <c r="I51" s="20"/>
      <c r="J51" s="20"/>
      <c r="K51" s="20"/>
      <c r="L51" s="20"/>
      <c r="M51" s="20"/>
      <c r="N51" s="20"/>
      <c r="O51" s="20"/>
      <c r="P51" s="20"/>
      <c r="Q51" s="20"/>
    </row>
    <row r="52" spans="1:17" x14ac:dyDescent="0.3">
      <c r="A52" s="20"/>
      <c r="B52" s="20"/>
      <c r="C52" s="20"/>
      <c r="D52" s="20"/>
      <c r="E52" s="20"/>
      <c r="F52" s="20"/>
      <c r="G52" s="20"/>
      <c r="H52" s="20"/>
      <c r="I52" s="20"/>
      <c r="J52" s="20"/>
      <c r="K52" s="20"/>
      <c r="L52" s="20"/>
      <c r="M52" s="20"/>
      <c r="N52" s="20"/>
      <c r="O52" s="20"/>
      <c r="P52" s="20"/>
      <c r="Q52" s="20"/>
    </row>
    <row r="53" spans="1:17" x14ac:dyDescent="0.3">
      <c r="A53" s="20"/>
      <c r="B53" s="20"/>
      <c r="C53" s="20"/>
      <c r="D53" s="20"/>
      <c r="E53" s="20"/>
      <c r="F53" s="20"/>
      <c r="G53" s="20"/>
      <c r="H53" s="20"/>
      <c r="I53" s="20"/>
      <c r="J53" s="20"/>
      <c r="K53" s="20"/>
      <c r="L53" s="20"/>
      <c r="M53" s="20"/>
      <c r="N53" s="20"/>
      <c r="O53" s="20"/>
      <c r="P53" s="20"/>
      <c r="Q53" s="20"/>
    </row>
    <row r="54" spans="1:17" x14ac:dyDescent="0.3">
      <c r="A54" s="20"/>
      <c r="B54" s="20"/>
      <c r="C54" s="20"/>
      <c r="D54" s="20"/>
      <c r="E54" s="20"/>
      <c r="F54" s="20"/>
      <c r="G54" s="20"/>
      <c r="H54" s="20"/>
      <c r="I54" s="20"/>
      <c r="J54" s="20"/>
      <c r="K54" s="20"/>
      <c r="L54" s="20"/>
      <c r="M54" s="20"/>
      <c r="N54" s="20"/>
      <c r="O54" s="20"/>
      <c r="P54" s="20"/>
      <c r="Q54" s="20"/>
    </row>
    <row r="55" spans="1:17" x14ac:dyDescent="0.3">
      <c r="A55" s="20"/>
      <c r="B55" s="20"/>
      <c r="C55" s="20"/>
      <c r="D55" s="20"/>
      <c r="E55" s="20"/>
      <c r="F55" s="20"/>
      <c r="G55" s="20"/>
      <c r="H55" s="20"/>
      <c r="I55" s="20"/>
      <c r="J55" s="20"/>
      <c r="K55" s="20"/>
      <c r="L55" s="20"/>
      <c r="M55" s="20"/>
      <c r="N55" s="20"/>
      <c r="O55" s="20"/>
      <c r="P55" s="20"/>
      <c r="Q55" s="20"/>
    </row>
    <row r="56" spans="1:17" x14ac:dyDescent="0.3">
      <c r="A56" s="20"/>
      <c r="B56" s="20"/>
      <c r="C56" s="20"/>
      <c r="D56" s="20"/>
      <c r="E56" s="20"/>
      <c r="F56" s="20"/>
      <c r="G56" s="20"/>
      <c r="H56" s="20"/>
      <c r="I56" s="20"/>
      <c r="J56" s="20"/>
      <c r="K56" s="20"/>
      <c r="L56" s="20"/>
      <c r="M56" s="20"/>
      <c r="N56" s="20"/>
      <c r="O56" s="20"/>
      <c r="P56" s="20"/>
      <c r="Q56" s="20"/>
    </row>
    <row r="57" spans="1:17" x14ac:dyDescent="0.3">
      <c r="A57" s="20"/>
      <c r="B57" s="20"/>
      <c r="C57" s="20"/>
      <c r="D57" s="20"/>
      <c r="E57" s="20"/>
      <c r="F57" s="20"/>
      <c r="G57" s="20"/>
      <c r="H57" s="20"/>
      <c r="I57" s="20"/>
      <c r="J57" s="20"/>
      <c r="K57" s="20"/>
      <c r="L57" s="20"/>
      <c r="M57" s="20"/>
      <c r="N57" s="20"/>
      <c r="O57" s="20"/>
      <c r="P57" s="20"/>
      <c r="Q57" s="20"/>
    </row>
    <row r="58" spans="1:17" x14ac:dyDescent="0.3">
      <c r="A58" s="20"/>
      <c r="B58" s="20"/>
      <c r="C58" s="20"/>
      <c r="D58" s="20"/>
      <c r="E58" s="20"/>
      <c r="F58" s="20"/>
      <c r="G58" s="20"/>
      <c r="H58" s="20"/>
      <c r="I58" s="20"/>
      <c r="J58" s="20"/>
      <c r="K58" s="20"/>
      <c r="L58" s="20"/>
      <c r="M58" s="20"/>
      <c r="N58" s="20"/>
      <c r="O58" s="20"/>
      <c r="P58" s="20"/>
      <c r="Q58" s="20"/>
    </row>
    <row r="59" spans="1:17" x14ac:dyDescent="0.3">
      <c r="A59" s="20"/>
      <c r="B59" s="20"/>
      <c r="C59" s="20"/>
      <c r="D59" s="20"/>
      <c r="E59" s="20"/>
      <c r="F59" s="20"/>
      <c r="G59" s="20"/>
      <c r="H59" s="20"/>
      <c r="I59" s="20"/>
      <c r="J59" s="20"/>
      <c r="K59" s="20"/>
      <c r="L59" s="20"/>
      <c r="M59" s="20"/>
      <c r="N59" s="20"/>
      <c r="O59" s="20"/>
      <c r="P59" s="20"/>
      <c r="Q59" s="20"/>
    </row>
    <row r="60" spans="1:17" x14ac:dyDescent="0.3">
      <c r="A60" s="20"/>
      <c r="B60" s="20"/>
      <c r="C60" s="20"/>
      <c r="D60" s="20"/>
      <c r="E60" s="20"/>
      <c r="F60" s="20"/>
      <c r="G60" s="20"/>
      <c r="H60" s="20"/>
      <c r="I60" s="20"/>
      <c r="J60" s="20"/>
      <c r="K60" s="20"/>
      <c r="L60" s="20"/>
      <c r="M60" s="20"/>
      <c r="N60" s="20"/>
      <c r="O60" s="20"/>
      <c r="P60" s="20"/>
      <c r="Q60" s="20"/>
    </row>
    <row r="61" spans="1:17" x14ac:dyDescent="0.3">
      <c r="A61" s="20"/>
      <c r="B61" s="20"/>
      <c r="C61" s="20"/>
      <c r="D61" s="20"/>
      <c r="E61" s="20"/>
      <c r="F61" s="20"/>
      <c r="G61" s="20"/>
      <c r="H61" s="20"/>
      <c r="I61" s="20"/>
      <c r="J61" s="20"/>
      <c r="K61" s="20"/>
      <c r="L61" s="20"/>
      <c r="M61" s="20"/>
      <c r="N61" s="20"/>
      <c r="O61" s="20"/>
      <c r="P61" s="20"/>
      <c r="Q61" s="20"/>
    </row>
    <row r="62" spans="1:17" x14ac:dyDescent="0.3">
      <c r="A62" s="20"/>
      <c r="B62" s="20"/>
      <c r="C62" s="20"/>
      <c r="D62" s="20"/>
      <c r="E62" s="20"/>
      <c r="F62" s="20"/>
      <c r="G62" s="20"/>
      <c r="H62" s="20"/>
      <c r="I62" s="20"/>
      <c r="J62" s="20"/>
      <c r="K62" s="20"/>
      <c r="L62" s="20"/>
      <c r="M62" s="20"/>
      <c r="N62" s="20"/>
      <c r="O62" s="20"/>
      <c r="P62" s="20"/>
      <c r="Q62" s="20"/>
    </row>
    <row r="63" spans="1:17" x14ac:dyDescent="0.3">
      <c r="A63" s="20"/>
      <c r="B63" s="20"/>
      <c r="C63" s="20"/>
      <c r="D63" s="20"/>
      <c r="E63" s="20"/>
      <c r="F63" s="2"/>
      <c r="G63" s="2"/>
      <c r="H63" s="2"/>
      <c r="I63" s="2"/>
      <c r="J63" s="2"/>
      <c r="K63" s="2"/>
      <c r="L63" s="2"/>
      <c r="M63" s="2"/>
      <c r="N63" s="2"/>
      <c r="O63" s="2"/>
      <c r="P63" s="2"/>
      <c r="Q63" s="2"/>
    </row>
    <row r="64" spans="1:17" x14ac:dyDescent="0.3">
      <c r="A64" s="2"/>
      <c r="B64" s="2"/>
      <c r="C64" s="2"/>
      <c r="D64" s="2"/>
      <c r="E64" s="2"/>
      <c r="F64" s="2"/>
      <c r="G64" s="2"/>
      <c r="H64" s="2"/>
      <c r="I64" s="2"/>
      <c r="J64" s="2"/>
      <c r="K64" s="2"/>
      <c r="L64" s="2"/>
      <c r="M64" s="2"/>
      <c r="N64" s="2"/>
      <c r="O64" s="2"/>
      <c r="P64" s="2"/>
      <c r="Q64" s="2"/>
    </row>
    <row r="65" spans="1:17" x14ac:dyDescent="0.3">
      <c r="A65" s="2"/>
      <c r="B65" s="2"/>
      <c r="C65" s="2"/>
      <c r="D65" s="2"/>
      <c r="E65" s="2"/>
      <c r="F65" s="2"/>
      <c r="G65" s="2"/>
      <c r="H65" s="2"/>
      <c r="I65" s="2"/>
      <c r="J65" s="2"/>
      <c r="K65" s="2"/>
      <c r="L65" s="2"/>
      <c r="M65" s="2"/>
      <c r="N65" s="2"/>
      <c r="O65" s="2"/>
      <c r="P65" s="2"/>
      <c r="Q65" s="2"/>
    </row>
    <row r="66" spans="1:17" x14ac:dyDescent="0.3">
      <c r="A66" s="2"/>
      <c r="B66" s="2"/>
      <c r="C66" s="2"/>
      <c r="D66" s="2"/>
      <c r="E66" s="2"/>
      <c r="F66" s="2"/>
      <c r="G66" s="2"/>
      <c r="H66" s="2"/>
      <c r="I66" s="2"/>
      <c r="J66" s="2"/>
      <c r="K66" s="2"/>
      <c r="L66" s="2"/>
      <c r="M66" s="2"/>
      <c r="N66" s="2"/>
      <c r="O66" s="2"/>
      <c r="P66" s="2"/>
      <c r="Q66" s="2"/>
    </row>
    <row r="67" spans="1:17" x14ac:dyDescent="0.3">
      <c r="A67" s="2"/>
      <c r="B67" s="2"/>
      <c r="C67" s="2"/>
      <c r="D67" s="2"/>
      <c r="E67" s="2"/>
      <c r="F67" s="2"/>
      <c r="G67" s="2"/>
      <c r="H67" s="2"/>
      <c r="I67" s="2"/>
      <c r="J67" s="2"/>
      <c r="K67" s="2"/>
      <c r="L67" s="2"/>
      <c r="M67" s="2"/>
      <c r="N67" s="2"/>
      <c r="O67" s="2"/>
      <c r="P67" s="2"/>
      <c r="Q67" s="2"/>
    </row>
    <row r="68" spans="1:17" x14ac:dyDescent="0.3">
      <c r="A68" s="2"/>
      <c r="B68" s="2"/>
      <c r="C68" s="2"/>
      <c r="D68" s="2"/>
      <c r="E68" s="2"/>
      <c r="F68" s="2"/>
      <c r="G68" s="2"/>
      <c r="H68" s="2"/>
      <c r="I68" s="2"/>
      <c r="J68" s="2"/>
      <c r="K68" s="2"/>
      <c r="L68" s="2"/>
      <c r="M68" s="2"/>
      <c r="N68" s="2"/>
      <c r="O68" s="2"/>
      <c r="P68" s="2"/>
      <c r="Q68" s="2"/>
    </row>
    <row r="69" spans="1:17" x14ac:dyDescent="0.3">
      <c r="A69" s="2"/>
      <c r="B69" s="2"/>
      <c r="C69" s="2"/>
      <c r="D69" s="2"/>
      <c r="E69" s="2"/>
      <c r="F69" s="2"/>
      <c r="G69" s="2"/>
      <c r="H69" s="2"/>
      <c r="I69" s="2"/>
      <c r="J69" s="2"/>
      <c r="K69" s="2"/>
      <c r="L69" s="2"/>
      <c r="M69" s="2"/>
      <c r="N69" s="2"/>
      <c r="O69" s="2"/>
      <c r="P69" s="2"/>
      <c r="Q69" s="2"/>
    </row>
    <row r="70" spans="1:17" x14ac:dyDescent="0.3">
      <c r="A70" s="2"/>
      <c r="B70" s="2"/>
      <c r="C70" s="2"/>
      <c r="D70" s="2"/>
      <c r="E70" s="2"/>
      <c r="F70" s="2"/>
      <c r="G70" s="2"/>
      <c r="H70" s="2"/>
      <c r="I70" s="2"/>
      <c r="J70" s="2"/>
      <c r="K70" s="2"/>
      <c r="L70" s="2"/>
      <c r="M70" s="2"/>
      <c r="N70" s="2"/>
      <c r="O70" s="2"/>
      <c r="P70" s="2"/>
      <c r="Q70" s="2"/>
    </row>
    <row r="71" spans="1:17" x14ac:dyDescent="0.3">
      <c r="A71" s="2"/>
      <c r="B71" s="2"/>
      <c r="C71" s="2"/>
      <c r="D71" s="2"/>
      <c r="E71" s="2"/>
      <c r="F71" s="2"/>
      <c r="G71" s="2"/>
      <c r="H71" s="2"/>
      <c r="I71" s="2"/>
      <c r="J71" s="2"/>
      <c r="K71" s="2"/>
      <c r="L71" s="2"/>
      <c r="M71" s="2"/>
      <c r="N71" s="2"/>
      <c r="O71" s="2"/>
      <c r="P71" s="2"/>
      <c r="Q71" s="2"/>
    </row>
    <row r="72" spans="1:17" x14ac:dyDescent="0.3">
      <c r="A72" s="2"/>
      <c r="B72" s="2"/>
      <c r="C72" s="2"/>
      <c r="D72" s="2"/>
      <c r="E72" s="2"/>
      <c r="F72" s="2"/>
      <c r="G72" s="2"/>
      <c r="H72" s="2"/>
      <c r="I72" s="2"/>
      <c r="J72" s="2"/>
      <c r="K72" s="2"/>
      <c r="L72" s="2"/>
      <c r="M72" s="2"/>
      <c r="N72" s="2"/>
      <c r="O72" s="2"/>
      <c r="P72" s="2"/>
      <c r="Q72" s="2"/>
    </row>
    <row r="73" spans="1:17" x14ac:dyDescent="0.3">
      <c r="F73" s="2"/>
      <c r="G73" s="2"/>
      <c r="H73" s="2"/>
      <c r="I73" s="2"/>
      <c r="J73" s="2"/>
      <c r="K73" s="2"/>
      <c r="L73" s="2"/>
      <c r="M73" s="2"/>
      <c r="N73" s="2"/>
      <c r="O73" s="2"/>
      <c r="P73" s="2"/>
      <c r="Q73" s="2"/>
    </row>
    <row r="74" spans="1:17" x14ac:dyDescent="0.3">
      <c r="F74" s="2"/>
      <c r="G74" s="2"/>
      <c r="H74" s="2"/>
      <c r="I74" s="2"/>
      <c r="J74" s="2"/>
      <c r="K74" s="2"/>
      <c r="L74" s="2"/>
      <c r="M74" s="2"/>
      <c r="N74" s="2"/>
      <c r="O74" s="2"/>
      <c r="P74" s="2"/>
      <c r="Q74" s="2"/>
    </row>
  </sheetData>
  <sheetProtection algorithmName="SHA-512" hashValue="OFJF1uSglsnAqGZun8xvTOMAhD0445umHJ2y+8ptpbxGTpxqWz1irgIwF+H8h26wdCNL2MPUHdCFjGqH8GQ06w==" saltValue="kkWgQEDoOQCmliLo/x+etw==" spinCount="100000" sheet="1" objects="1" scenarios="1"/>
  <mergeCells count="1">
    <mergeCell ref="A4:E4"/>
  </mergeCells>
  <dataValidations count="1">
    <dataValidation type="decimal" operator="notEqual" allowBlank="1" showInputMessage="1" showErrorMessage="1" sqref="A6:E11 A19:E25 B12:E18 A12:A18" xr:uid="{00000000-0002-0000-0100-000000000000}">
      <formula1>0</formula1>
    </dataValidation>
  </dataValidations>
  <hyperlinks>
    <hyperlink ref="A28" r:id="rId1" xr:uid="{00000000-0004-0000-0100-000000000000}"/>
  </hyperlinks>
  <pageMargins left="0.7" right="0.7" top="0.78740157499999996" bottom="0.78740157499999996" header="0.3" footer="0.3"/>
  <pageSetup paperSize="9" orientation="landscape"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215"/>
  <sheetViews>
    <sheetView tabSelected="1" topLeftCell="N1" zoomScale="93" zoomScaleNormal="100" workbookViewId="0">
      <selection activeCell="P24" sqref="P24"/>
    </sheetView>
  </sheetViews>
  <sheetFormatPr baseColWidth="10" defaultRowHeight="14.4" x14ac:dyDescent="0.3"/>
  <cols>
    <col min="1" max="1" width="24.109375" style="1" customWidth="1"/>
    <col min="2" max="2" width="25.44140625" style="1" customWidth="1"/>
    <col min="3" max="3" width="27.109375" style="1" customWidth="1"/>
    <col min="4" max="4" width="41.5546875" style="1" customWidth="1"/>
    <col min="5" max="5" width="41.6640625" style="1" customWidth="1"/>
    <col min="6" max="6" width="40" style="1" customWidth="1"/>
    <col min="7" max="7" width="43.21875" style="1" customWidth="1"/>
    <col min="8" max="8" width="63.21875" style="1" customWidth="1"/>
    <col min="9" max="9" width="52" style="1" customWidth="1"/>
    <col min="10" max="10" width="31.21875" style="1" customWidth="1"/>
    <col min="11" max="11" width="34.33203125" style="1" customWidth="1"/>
    <col min="12" max="12" width="34.88671875" style="1" customWidth="1"/>
    <col min="13" max="13" width="36.6640625" style="1" customWidth="1"/>
    <col min="14" max="14" width="105" style="1" customWidth="1"/>
    <col min="15" max="15" width="64.77734375" style="1" customWidth="1"/>
    <col min="16" max="16" width="46.21875" style="1" customWidth="1"/>
    <col min="17" max="17" width="9.5546875" style="1" customWidth="1"/>
    <col min="18" max="18" width="10.21875" style="1" customWidth="1"/>
    <col min="19" max="19" width="13" style="1" customWidth="1"/>
    <col min="20" max="20" width="13.77734375" style="1" customWidth="1"/>
    <col min="21" max="21" width="15.109375" style="1" customWidth="1"/>
    <col min="22" max="22" width="11.5546875" style="1"/>
    <col min="23" max="23" width="16.6640625" style="1" customWidth="1"/>
    <col min="24" max="24" width="18.44140625" style="1" customWidth="1"/>
    <col min="25" max="25" width="12.6640625" style="1" bestFit="1" customWidth="1"/>
    <col min="26" max="26" width="11.5546875" style="1"/>
    <col min="27" max="27" width="15.33203125" style="1" customWidth="1"/>
    <col min="28" max="28" width="14.5546875" style="1" customWidth="1"/>
    <col min="29" max="31" width="11.5546875" style="1"/>
    <col min="32" max="32" width="12.6640625" style="1" bestFit="1" customWidth="1"/>
    <col min="33" max="39" width="11.5546875" style="1"/>
    <col min="40" max="40" width="12.6640625" style="1" bestFit="1" customWidth="1"/>
    <col min="41" max="42" width="11.5546875" style="1"/>
    <col min="43" max="43" width="14.6640625" style="1" customWidth="1"/>
    <col min="44" max="51" width="11.5546875" style="1"/>
    <col min="52" max="52" width="12.77734375" style="1" customWidth="1"/>
    <col min="53" max="53" width="12.77734375" style="1" bestFit="1" customWidth="1"/>
    <col min="54" max="54" width="11.5546875" style="1"/>
    <col min="55" max="56" width="11.6640625" style="1" bestFit="1" customWidth="1"/>
    <col min="57" max="57" width="15.109375" style="1" customWidth="1"/>
    <col min="58" max="58" width="11.5546875" style="1"/>
    <col min="59" max="59" width="15" style="1" customWidth="1"/>
    <col min="60" max="60" width="14.33203125" style="1" customWidth="1"/>
    <col min="61" max="61" width="13.21875" style="1" bestFit="1" customWidth="1"/>
    <col min="62" max="64" width="11.6640625" style="1" bestFit="1" customWidth="1"/>
    <col min="65" max="65" width="14.21875" style="1" customWidth="1"/>
    <col min="66" max="66" width="11.77734375" style="1" bestFit="1" customWidth="1"/>
    <col min="67" max="67" width="13.6640625" style="1" customWidth="1"/>
    <col min="68" max="69" width="11.5546875" style="1"/>
    <col min="70" max="70" width="12.88671875" style="1" bestFit="1" customWidth="1"/>
    <col min="71" max="73" width="11.6640625" style="1" bestFit="1" customWidth="1"/>
    <col min="74" max="74" width="14.77734375" style="1" customWidth="1"/>
    <col min="75" max="75" width="11.77734375" style="1" bestFit="1" customWidth="1"/>
    <col min="76" max="76" width="15.6640625" style="1" customWidth="1"/>
    <col min="77" max="16384" width="11.5546875" style="1"/>
  </cols>
  <sheetData>
    <row r="1" spans="1:90" x14ac:dyDescent="0.3">
      <c r="A1" s="45"/>
      <c r="B1" s="45"/>
      <c r="C1" s="45"/>
      <c r="D1" s="45"/>
      <c r="E1" s="45"/>
      <c r="F1" s="45"/>
      <c r="G1" s="45"/>
      <c r="H1" s="45"/>
      <c r="I1" s="45"/>
      <c r="J1" s="45"/>
      <c r="K1" s="45"/>
      <c r="L1" s="45"/>
      <c r="M1" s="45"/>
      <c r="N1" s="26"/>
      <c r="O1" s="27"/>
      <c r="P1" s="27"/>
      <c r="Q1" s="28"/>
      <c r="R1" s="28"/>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72"/>
      <c r="CA1" s="72"/>
      <c r="CB1" s="72"/>
      <c r="CC1" s="72"/>
      <c r="CD1" s="72"/>
      <c r="CE1" s="72"/>
      <c r="CF1" s="72"/>
      <c r="CG1" s="72"/>
      <c r="CH1" s="72"/>
      <c r="CI1" s="72"/>
      <c r="CJ1" s="72"/>
      <c r="CK1" s="70"/>
      <c r="CL1" s="70"/>
    </row>
    <row r="2" spans="1:90" x14ac:dyDescent="0.3">
      <c r="A2" s="45"/>
      <c r="B2" s="45"/>
      <c r="C2" s="45"/>
      <c r="D2" s="45"/>
      <c r="E2" s="45"/>
      <c r="F2" s="45"/>
      <c r="G2" s="45"/>
      <c r="H2" s="45"/>
      <c r="I2" s="45"/>
      <c r="J2" s="45"/>
      <c r="K2" s="45"/>
      <c r="L2" s="45"/>
      <c r="M2" s="45"/>
      <c r="N2" s="27" t="s">
        <v>61</v>
      </c>
      <c r="O2" s="41">
        <v>-100</v>
      </c>
      <c r="P2" s="29">
        <f>ROUND(((2.71828183^(O2*P4+O4))/(2.71828183^(O2*P4+O4)+1))*100,2)</f>
        <v>89</v>
      </c>
      <c r="Q2" s="28"/>
      <c r="R2" s="28"/>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72"/>
      <c r="CA2" s="72"/>
      <c r="CB2" s="72"/>
      <c r="CC2" s="72"/>
      <c r="CD2" s="72"/>
      <c r="CE2" s="72"/>
      <c r="CF2" s="72"/>
      <c r="CG2" s="72"/>
      <c r="CH2" s="72"/>
      <c r="CI2" s="72"/>
      <c r="CJ2" s="72"/>
      <c r="CK2" s="70"/>
      <c r="CL2" s="70"/>
    </row>
    <row r="3" spans="1:90" x14ac:dyDescent="0.3">
      <c r="A3" s="45"/>
      <c r="B3" s="45"/>
      <c r="C3" s="45"/>
      <c r="D3" s="45"/>
      <c r="E3" s="45"/>
      <c r="F3" s="45"/>
      <c r="G3" s="45"/>
      <c r="H3" s="45"/>
      <c r="I3" s="45"/>
      <c r="J3" s="45"/>
      <c r="K3" s="45"/>
      <c r="L3" s="45"/>
      <c r="M3" s="45"/>
      <c r="N3" s="27" t="s">
        <v>62</v>
      </c>
      <c r="O3" s="41">
        <v>60</v>
      </c>
      <c r="P3" s="29">
        <f>ROUND((LN((O3*0.01)/(1-O3*0.01))-O4)/P4,2)</f>
        <v>-8159.83</v>
      </c>
      <c r="Q3" s="28"/>
      <c r="R3" s="28"/>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72"/>
      <c r="CA3" s="72"/>
      <c r="CB3" s="72"/>
      <c r="CC3" s="72"/>
      <c r="CD3" s="72"/>
      <c r="CE3" s="72"/>
      <c r="CF3" s="72"/>
      <c r="CG3" s="72"/>
      <c r="CH3" s="72"/>
      <c r="CI3" s="72"/>
      <c r="CJ3" s="72"/>
      <c r="CK3" s="70"/>
      <c r="CL3" s="70"/>
    </row>
    <row r="4" spans="1:90" x14ac:dyDescent="0.3">
      <c r="A4" s="45"/>
      <c r="B4" s="45"/>
      <c r="C4" s="45"/>
      <c r="D4" s="45"/>
      <c r="E4" s="45"/>
      <c r="F4" s="45"/>
      <c r="G4" s="45"/>
      <c r="H4" s="45"/>
      <c r="I4" s="45"/>
      <c r="J4" s="45"/>
      <c r="K4" s="45"/>
      <c r="L4" s="45"/>
      <c r="M4" s="45"/>
      <c r="N4" s="42" t="s">
        <v>79</v>
      </c>
      <c r="O4" s="30">
        <f>IF(Q6=1,(BA114),BR114)</f>
        <v>2.1112245562506633</v>
      </c>
      <c r="P4" s="30">
        <f>IF(Q6=1,(BA112),BR112)</f>
        <v>2.0904352590274007E-4</v>
      </c>
      <c r="Q4" s="30">
        <f>IF(Q6=1,BA116,BR116)</f>
        <v>0.99977328124269371</v>
      </c>
      <c r="R4" s="28"/>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72"/>
      <c r="CA4" s="72"/>
      <c r="CB4" s="72"/>
      <c r="CC4" s="72"/>
      <c r="CD4" s="72"/>
      <c r="CE4" s="72"/>
      <c r="CF4" s="72"/>
      <c r="CG4" s="72"/>
      <c r="CH4" s="72"/>
      <c r="CI4" s="72"/>
      <c r="CJ4" s="72"/>
      <c r="CK4" s="70"/>
      <c r="CL4" s="70"/>
    </row>
    <row r="5" spans="1:90" x14ac:dyDescent="0.3">
      <c r="A5" s="45"/>
      <c r="B5" s="45"/>
      <c r="C5" s="45"/>
      <c r="D5" s="45"/>
      <c r="E5" s="45"/>
      <c r="F5" s="45"/>
      <c r="G5" s="45"/>
      <c r="H5" s="45"/>
      <c r="I5" s="45"/>
      <c r="J5" s="45"/>
      <c r="K5" s="45"/>
      <c r="L5" s="45"/>
      <c r="M5" s="45"/>
      <c r="N5" s="42" t="s">
        <v>50</v>
      </c>
      <c r="O5" s="34" t="s">
        <v>66</v>
      </c>
      <c r="P5" s="30">
        <f>ROUND((LN(0.9999/(1-0.9999))-O4)/P4,1)</f>
        <v>33959.5</v>
      </c>
      <c r="Q5" s="31"/>
      <c r="R5" s="28"/>
      <c r="S5" s="45" t="s">
        <v>84</v>
      </c>
      <c r="T5" s="45"/>
      <c r="U5" s="45"/>
      <c r="V5" s="45"/>
      <c r="W5" s="45"/>
      <c r="X5" s="45"/>
      <c r="Y5" s="45"/>
      <c r="Z5" s="45"/>
      <c r="AA5" s="45" t="s">
        <v>84</v>
      </c>
      <c r="AB5" s="45"/>
      <c r="AC5" s="45"/>
      <c r="AD5" s="45"/>
      <c r="AE5" s="45"/>
      <c r="AF5" s="45"/>
      <c r="AG5" s="45"/>
      <c r="AH5" s="45"/>
      <c r="AI5" s="45" t="s">
        <v>84</v>
      </c>
      <c r="AJ5" s="45"/>
      <c r="AK5" s="45"/>
      <c r="AL5" s="45"/>
      <c r="AM5" s="45"/>
      <c r="AN5" s="45"/>
      <c r="AO5" s="45"/>
      <c r="AP5" s="45"/>
      <c r="AQ5" s="45" t="s">
        <v>84</v>
      </c>
      <c r="AR5" s="45"/>
      <c r="AS5" s="45"/>
      <c r="AT5" s="45"/>
      <c r="AU5" s="45"/>
      <c r="AV5" s="45"/>
      <c r="AW5" s="45"/>
      <c r="AX5" s="45"/>
      <c r="AY5" s="45"/>
      <c r="AZ5" s="45"/>
      <c r="BA5" s="45" t="s">
        <v>83</v>
      </c>
      <c r="BB5" s="45"/>
      <c r="BC5" s="45"/>
      <c r="BD5" s="45"/>
      <c r="BE5" s="45"/>
      <c r="BF5" s="45"/>
      <c r="BG5" s="45"/>
      <c r="BH5" s="45"/>
      <c r="BI5" s="45" t="s">
        <v>80</v>
      </c>
      <c r="BJ5" s="45"/>
      <c r="BK5" s="45"/>
      <c r="BL5" s="45"/>
      <c r="BM5" s="45"/>
      <c r="BN5" s="45"/>
      <c r="BO5" s="45"/>
      <c r="BP5" s="45"/>
      <c r="BQ5" s="45"/>
      <c r="BR5" s="45" t="s">
        <v>80</v>
      </c>
      <c r="BS5" s="45"/>
      <c r="BT5" s="45"/>
      <c r="BU5" s="45"/>
      <c r="BV5" s="45"/>
      <c r="BW5" s="45"/>
      <c r="BX5" s="45"/>
      <c r="BY5" s="45"/>
      <c r="BZ5" s="72"/>
      <c r="CA5" s="72"/>
      <c r="CB5" s="72"/>
      <c r="CC5" s="72"/>
      <c r="CD5" s="72"/>
      <c r="CE5" s="72"/>
      <c r="CF5" s="72"/>
      <c r="CG5" s="72"/>
      <c r="CH5" s="72"/>
      <c r="CI5" s="72"/>
      <c r="CJ5" s="72"/>
      <c r="CK5" s="70"/>
      <c r="CL5" s="70"/>
    </row>
    <row r="6" spans="1:90" x14ac:dyDescent="0.3">
      <c r="A6" s="45"/>
      <c r="B6" s="45"/>
      <c r="C6" s="45"/>
      <c r="D6" s="45"/>
      <c r="E6" s="45"/>
      <c r="F6" s="45"/>
      <c r="G6" s="45"/>
      <c r="H6" s="45"/>
      <c r="I6" s="45"/>
      <c r="J6" s="45"/>
      <c r="K6" s="45"/>
      <c r="L6" s="45"/>
      <c r="M6" s="45"/>
      <c r="N6" s="61"/>
      <c r="O6" s="32" t="s">
        <v>65</v>
      </c>
      <c r="P6" s="30"/>
      <c r="Q6" s="75">
        <v>2</v>
      </c>
      <c r="R6" s="33"/>
      <c r="S6" s="46" t="s">
        <v>85</v>
      </c>
      <c r="T6" s="46"/>
      <c r="U6" s="46"/>
      <c r="V6" s="46"/>
      <c r="W6" s="46"/>
      <c r="X6" s="46"/>
      <c r="Y6" s="46"/>
      <c r="Z6" s="45"/>
      <c r="AA6" s="46" t="s">
        <v>86</v>
      </c>
      <c r="AB6" s="46"/>
      <c r="AC6" s="46"/>
      <c r="AD6" s="46"/>
      <c r="AE6" s="46"/>
      <c r="AF6" s="46"/>
      <c r="AG6" s="46"/>
      <c r="AH6" s="45"/>
      <c r="AI6" s="46" t="s">
        <v>87</v>
      </c>
      <c r="AJ6" s="46"/>
      <c r="AK6" s="46"/>
      <c r="AL6" s="46"/>
      <c r="AM6" s="46"/>
      <c r="AN6" s="46"/>
      <c r="AO6" s="46"/>
      <c r="AP6" s="45"/>
      <c r="AQ6" s="46" t="s">
        <v>88</v>
      </c>
      <c r="AR6" s="46"/>
      <c r="AS6" s="46"/>
      <c r="AT6" s="46"/>
      <c r="AU6" s="46"/>
      <c r="AV6" s="46"/>
      <c r="AW6" s="46"/>
      <c r="AX6" s="45"/>
      <c r="AY6" s="45"/>
      <c r="AZ6" s="45"/>
      <c r="BA6" s="45"/>
      <c r="BB6" s="45"/>
      <c r="BC6" s="45"/>
      <c r="BD6" s="45"/>
      <c r="BE6" s="45"/>
      <c r="BF6" s="45"/>
      <c r="BG6" s="45"/>
      <c r="BH6" s="45"/>
      <c r="BI6" s="45"/>
      <c r="BJ6" s="45"/>
      <c r="BK6" s="45" t="s">
        <v>81</v>
      </c>
      <c r="BL6" s="45"/>
      <c r="BM6" s="45"/>
      <c r="BN6" s="45"/>
      <c r="BO6" s="45"/>
      <c r="BP6" s="45"/>
      <c r="BQ6" s="45"/>
      <c r="BR6" s="45"/>
      <c r="BS6" s="45"/>
      <c r="BT6" s="45" t="s">
        <v>82</v>
      </c>
      <c r="BU6" s="45"/>
      <c r="BV6" s="45"/>
      <c r="BW6" s="45"/>
      <c r="BX6" s="45"/>
      <c r="BY6" s="45"/>
      <c r="BZ6" s="72"/>
      <c r="CA6" s="72"/>
      <c r="CB6" s="72"/>
      <c r="CC6" s="72"/>
      <c r="CD6" s="72"/>
      <c r="CE6" s="72"/>
      <c r="CF6" s="72"/>
      <c r="CG6" s="72"/>
      <c r="CH6" s="72"/>
      <c r="CI6" s="72"/>
      <c r="CJ6" s="72"/>
      <c r="CK6" s="70"/>
      <c r="CL6" s="70"/>
    </row>
    <row r="7" spans="1:90" x14ac:dyDescent="0.3">
      <c r="A7" s="46"/>
      <c r="B7" s="46"/>
      <c r="C7" s="46"/>
      <c r="D7" s="45"/>
      <c r="E7" s="45"/>
      <c r="F7" s="45"/>
      <c r="G7" s="45"/>
      <c r="H7" s="45"/>
      <c r="I7" s="45"/>
      <c r="J7" s="45"/>
      <c r="K7" s="45"/>
      <c r="L7" s="45"/>
      <c r="M7" s="45"/>
      <c r="N7" s="34" t="s">
        <v>64</v>
      </c>
      <c r="O7" s="35"/>
      <c r="P7" s="76">
        <v>2</v>
      </c>
      <c r="Q7" s="36"/>
      <c r="R7" s="36">
        <f>$W$114</f>
        <v>0.97661690043458005</v>
      </c>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72"/>
      <c r="CA7" s="72"/>
      <c r="CB7" s="72"/>
      <c r="CC7" s="72"/>
      <c r="CD7" s="72"/>
      <c r="CE7" s="72"/>
      <c r="CF7" s="72"/>
      <c r="CG7" s="72"/>
      <c r="CH7" s="72"/>
      <c r="CI7" s="72"/>
      <c r="CJ7" s="72"/>
      <c r="CK7" s="70"/>
      <c r="CL7" s="70"/>
    </row>
    <row r="8" spans="1:90" x14ac:dyDescent="0.3">
      <c r="A8" s="46" t="s">
        <v>2</v>
      </c>
      <c r="B8" s="45" t="s">
        <v>12</v>
      </c>
      <c r="C8" s="46" t="s">
        <v>3</v>
      </c>
      <c r="D8" s="45" t="s">
        <v>45</v>
      </c>
      <c r="E8" s="45" t="s">
        <v>58</v>
      </c>
      <c r="F8" s="47" t="s">
        <v>59</v>
      </c>
      <c r="G8" s="47" t="s">
        <v>43</v>
      </c>
      <c r="H8" s="47" t="s">
        <v>44</v>
      </c>
      <c r="I8" s="45"/>
      <c r="J8" s="45"/>
      <c r="K8" s="45" t="s">
        <v>44</v>
      </c>
      <c r="L8" s="45" t="s">
        <v>44</v>
      </c>
      <c r="M8" s="45" t="s">
        <v>44</v>
      </c>
      <c r="N8" s="37" t="s">
        <v>63</v>
      </c>
      <c r="O8" s="37"/>
      <c r="P8" s="38">
        <f>ROUND(IF((P7-Q6)=0,AJ122,AR122),5)</f>
        <v>0.99965999999999999</v>
      </c>
      <c r="Q8" s="39"/>
      <c r="R8" s="36">
        <f>$T$117</f>
        <v>1.0108306749793534</v>
      </c>
      <c r="S8" s="48" t="s">
        <v>51</v>
      </c>
      <c r="T8" s="48" t="s">
        <v>52</v>
      </c>
      <c r="U8" s="48" t="s">
        <v>53</v>
      </c>
      <c r="V8" s="48" t="s">
        <v>54</v>
      </c>
      <c r="W8" s="48" t="s">
        <v>55</v>
      </c>
      <c r="X8" s="48" t="s">
        <v>56</v>
      </c>
      <c r="Y8" s="48" t="s">
        <v>57</v>
      </c>
      <c r="Z8" s="48"/>
      <c r="AA8" s="48" t="s">
        <v>51</v>
      </c>
      <c r="AB8" s="45" t="s">
        <v>52</v>
      </c>
      <c r="AC8" s="45" t="s">
        <v>53</v>
      </c>
      <c r="AD8" s="45" t="s">
        <v>54</v>
      </c>
      <c r="AE8" s="45" t="s">
        <v>55</v>
      </c>
      <c r="AF8" s="45" t="s">
        <v>56</v>
      </c>
      <c r="AG8" s="45" t="s">
        <v>57</v>
      </c>
      <c r="AH8" s="45"/>
      <c r="AI8" s="45" t="s">
        <v>51</v>
      </c>
      <c r="AJ8" s="45" t="s">
        <v>52</v>
      </c>
      <c r="AK8" s="45" t="s">
        <v>53</v>
      </c>
      <c r="AL8" s="45" t="s">
        <v>54</v>
      </c>
      <c r="AM8" s="45" t="s">
        <v>55</v>
      </c>
      <c r="AN8" s="45" t="s">
        <v>56</v>
      </c>
      <c r="AO8" s="45" t="s">
        <v>57</v>
      </c>
      <c r="AP8" s="45"/>
      <c r="AQ8" s="45" t="s">
        <v>51</v>
      </c>
      <c r="AR8" s="45" t="s">
        <v>52</v>
      </c>
      <c r="AS8" s="45" t="s">
        <v>53</v>
      </c>
      <c r="AT8" s="45" t="s">
        <v>54</v>
      </c>
      <c r="AU8" s="45" t="s">
        <v>55</v>
      </c>
      <c r="AV8" s="45" t="s">
        <v>56</v>
      </c>
      <c r="AW8" s="45" t="s">
        <v>57</v>
      </c>
      <c r="AX8" s="45"/>
      <c r="AY8" s="45"/>
      <c r="AZ8" s="45"/>
      <c r="BA8" s="46" t="s">
        <v>53</v>
      </c>
      <c r="BB8" s="59" t="s">
        <v>67</v>
      </c>
      <c r="BC8" s="59" t="s">
        <v>77</v>
      </c>
      <c r="BD8" s="46" t="s">
        <v>90</v>
      </c>
      <c r="BE8" s="46" t="s">
        <v>55</v>
      </c>
      <c r="BF8" s="46" t="s">
        <v>56</v>
      </c>
      <c r="BG8" s="46" t="s">
        <v>57</v>
      </c>
      <c r="BH8" s="45"/>
      <c r="BI8" s="46" t="s">
        <v>53</v>
      </c>
      <c r="BJ8" s="46" t="s">
        <v>67</v>
      </c>
      <c r="BK8" s="46" t="s">
        <v>77</v>
      </c>
      <c r="BL8" s="46" t="s">
        <v>78</v>
      </c>
      <c r="BM8" s="46" t="s">
        <v>55</v>
      </c>
      <c r="BN8" s="46" t="s">
        <v>56</v>
      </c>
      <c r="BO8" s="46" t="s">
        <v>57</v>
      </c>
      <c r="BP8" s="46"/>
      <c r="BQ8" s="46"/>
      <c r="BR8" s="65" t="s">
        <v>53</v>
      </c>
      <c r="BS8" s="65" t="s">
        <v>67</v>
      </c>
      <c r="BT8" s="65" t="s">
        <v>77</v>
      </c>
      <c r="BU8" s="65" t="s">
        <v>78</v>
      </c>
      <c r="BV8" s="65" t="s">
        <v>55</v>
      </c>
      <c r="BW8" s="65" t="s">
        <v>56</v>
      </c>
      <c r="BX8" s="65" t="s">
        <v>57</v>
      </c>
      <c r="BY8" s="45"/>
      <c r="BZ8" s="72"/>
      <c r="CA8" s="72"/>
      <c r="CB8" s="72"/>
      <c r="CC8" s="72"/>
      <c r="CD8" s="72"/>
      <c r="CE8" s="72"/>
      <c r="CF8" s="72"/>
      <c r="CG8" s="72"/>
      <c r="CH8" s="72"/>
      <c r="CI8" s="72"/>
      <c r="CJ8" s="72"/>
      <c r="CK8" s="70"/>
      <c r="CL8" s="70"/>
    </row>
    <row r="9" spans="1:90" x14ac:dyDescent="0.3">
      <c r="A9" s="48">
        <f>'EINGABEN EINZELWERTE'!A6</f>
        <v>12000</v>
      </c>
      <c r="B9" s="45">
        <f>IF(COUNTIF(A9:A14,"&lt;&gt;")-COUNTIF(A9:A14,0)&lt;6,0,A9)</f>
        <v>12000</v>
      </c>
      <c r="C9" s="48">
        <f>IF((B9=""),MAX(B9:B108),B9)</f>
        <v>12000</v>
      </c>
      <c r="D9" s="45">
        <f>SMALL(C9:C108,1)</f>
        <v>2000</v>
      </c>
      <c r="E9" s="45">
        <f>LARGE(C9:C108,1)</f>
        <v>20000</v>
      </c>
      <c r="F9" s="49">
        <f>IF(Q6=1,D9,-E9)</f>
        <v>-20000</v>
      </c>
      <c r="G9" s="49">
        <f t="shared" ref="G9:G40" si="0">_xlfn.NORM.DIST(F9,$F$109,$F$110,1)</f>
        <v>0.11251763361691523</v>
      </c>
      <c r="H9" s="49">
        <f>_xlfn.NORM.DIST(F9,$G$109,$G$110,1)</f>
        <v>0.10731709395383104</v>
      </c>
      <c r="I9" s="45"/>
      <c r="J9" s="45">
        <f>IF(Q6=1,D9,D9)</f>
        <v>2000</v>
      </c>
      <c r="K9" s="45">
        <f>_xlfn.NORM.DIST(J9,$J$109,$J$110,1)</f>
        <v>2.8961491344365653E-2</v>
      </c>
      <c r="L9" s="45">
        <f>_xlfn.NORM.DIST(J9,$K$111,$K$110,1)</f>
        <v>0.15467207438074479</v>
      </c>
      <c r="M9" s="45">
        <f t="shared" ref="M9:M40" si="1">_xlfn.NORM.DIST(J9,$K$112,$K$110,1)</f>
        <v>4.1210701041717063E-2</v>
      </c>
      <c r="N9" s="57"/>
      <c r="O9" s="66"/>
      <c r="P9" s="67"/>
      <c r="Q9" s="68"/>
      <c r="R9" s="68"/>
      <c r="S9" s="45">
        <f t="shared" ref="S9:S40" si="2">IF(B9="",1,G9)</f>
        <v>0.11251763361691523</v>
      </c>
      <c r="T9" s="45">
        <f t="shared" ref="T9:T40" si="3">IF(B9="",1,H9)</f>
        <v>0.10731709395383104</v>
      </c>
      <c r="U9" s="48">
        <f>(LN(S9+0.000000001))</f>
        <v>-2.1846453174716394</v>
      </c>
      <c r="V9" s="48">
        <f>(LN(T9+10^-9))</f>
        <v>-2.2319673228012329</v>
      </c>
      <c r="W9" s="45">
        <f>(U9*V9)</f>
        <v>4.876056960507424</v>
      </c>
      <c r="X9" s="45">
        <f>(U9)^2</f>
        <v>4.77267516315076</v>
      </c>
      <c r="Y9" s="45">
        <f>(V9)^2</f>
        <v>4.9816781300525026</v>
      </c>
      <c r="Z9" s="45"/>
      <c r="AA9" s="45">
        <f t="shared" ref="AA9:AA40" si="4">IF(B9="",1,G9)</f>
        <v>0.11251763361691523</v>
      </c>
      <c r="AB9" s="45">
        <f>IF(B9="",1,H9)</f>
        <v>0.10731709395383104</v>
      </c>
      <c r="AC9" s="45">
        <f>(LN(AA9+0.000000001))</f>
        <v>-2.1846453174716394</v>
      </c>
      <c r="AD9" s="45">
        <f>(LN(AB9+10^-9))</f>
        <v>-2.2319673228012329</v>
      </c>
      <c r="AE9" s="45">
        <f>(AC9*AD9)</f>
        <v>4.876056960507424</v>
      </c>
      <c r="AF9" s="45">
        <f>(AC9)^2</f>
        <v>4.77267516315076</v>
      </c>
      <c r="AG9" s="45">
        <f>(AD9)^2</f>
        <v>4.9816781300525026</v>
      </c>
      <c r="AH9" s="45"/>
      <c r="AI9" s="45">
        <f>IF(B9="",1,K9)</f>
        <v>2.8961491344365653E-2</v>
      </c>
      <c r="AJ9" s="45">
        <f>IF(B9="",1,L9)</f>
        <v>0.15467207438074479</v>
      </c>
      <c r="AK9" s="45">
        <f>(LN(AI9+0.000000001))</f>
        <v>-3.5417881815642138</v>
      </c>
      <c r="AL9" s="45">
        <f>(LN(AJ9+10^-9))</f>
        <v>-1.8664480459013066</v>
      </c>
      <c r="AM9" s="45">
        <f>(AK9*AL9)</f>
        <v>6.6105636304768689</v>
      </c>
      <c r="AN9" s="45">
        <f>(AK9)^2</f>
        <v>12.54426352306794</v>
      </c>
      <c r="AO9" s="45">
        <f>(AL9)^2</f>
        <v>3.483628308048806</v>
      </c>
      <c r="AP9" s="45"/>
      <c r="AQ9" s="45">
        <f>IF(B9="",1,K9)</f>
        <v>2.8961491344365653E-2</v>
      </c>
      <c r="AR9" s="45">
        <f>IF(B9="",1,M9)</f>
        <v>4.1210701041717063E-2</v>
      </c>
      <c r="AS9" s="45">
        <f>(LN(AQ9+0.000000001))</f>
        <v>-3.5417881815642138</v>
      </c>
      <c r="AT9" s="45">
        <f>(LN(AR9+10^-9))</f>
        <v>-3.1890572980638972</v>
      </c>
      <c r="AU9" s="45">
        <f>(AS9*AT9)</f>
        <v>11.294965448613816</v>
      </c>
      <c r="AV9" s="45">
        <f>(AS9)^2</f>
        <v>12.54426352306794</v>
      </c>
      <c r="AW9" s="45">
        <f>(AT9)^2</f>
        <v>10.170086450334605</v>
      </c>
      <c r="AX9" s="45"/>
      <c r="AY9" s="45"/>
      <c r="AZ9" s="45"/>
      <c r="BA9" s="45">
        <f>IF(B9="","",F9)</f>
        <v>-20000</v>
      </c>
      <c r="BB9" s="45">
        <f>IF(BA9="","",H9)</f>
        <v>0.10731709395383104</v>
      </c>
      <c r="BC9" s="45">
        <f>IF(BA9="","",(BB9^-1-1)^-1)</f>
        <v>0.12021860531546985</v>
      </c>
      <c r="BD9" s="45">
        <f>IF(BA9="","",(LN(BC9)))</f>
        <v>-2.1184434825408114</v>
      </c>
      <c r="BE9" s="45">
        <f t="shared" ref="BE9:BE40" si="5">IF(BA9="","",(BA9*BD9))</f>
        <v>42368.869650816225</v>
      </c>
      <c r="BF9" s="45">
        <f t="shared" ref="BF9:BF40" si="6">IF(BA9="","",(BA9^2))</f>
        <v>400000000</v>
      </c>
      <c r="BG9" s="45">
        <f>IF(BD9="","",BD9^2)</f>
        <v>4.487802788719641</v>
      </c>
      <c r="BH9" s="45"/>
      <c r="BI9" s="45">
        <f>(F9)</f>
        <v>-20000</v>
      </c>
      <c r="BJ9" s="45">
        <f>IF(BI9="","",H9)</f>
        <v>0.10731709395383104</v>
      </c>
      <c r="BK9" s="45">
        <f>IF(BI9="","",(BJ9^-1-1)^-1)</f>
        <v>0.12021860531546985</v>
      </c>
      <c r="BL9" s="45">
        <f>IF(BI9="","",(LN(BK9)))</f>
        <v>-2.1184434825408114</v>
      </c>
      <c r="BM9" s="45">
        <f t="shared" ref="BM9:BM40" si="7">IF(BI9="","",(BI9*BL9))</f>
        <v>42368.869650816225</v>
      </c>
      <c r="BN9" s="45">
        <f t="shared" ref="BN9:BN40" si="8">IF(BI9="","",(BI9^2))</f>
        <v>400000000</v>
      </c>
      <c r="BO9" s="45">
        <f>IF(BL9="","",BL9^2)</f>
        <v>4.487802788719641</v>
      </c>
      <c r="BP9" s="45"/>
      <c r="BQ9" s="45"/>
      <c r="BR9" s="50" t="str">
        <f>IF(B108="","",F9)</f>
        <v/>
      </c>
      <c r="BS9" s="50" t="str">
        <f>IF(B108="","",BJ9)</f>
        <v/>
      </c>
      <c r="BT9" s="50" t="str">
        <f>IF(BR9="","",(BS9^-1-1)^-1)</f>
        <v/>
      </c>
      <c r="BU9" s="50" t="str">
        <f>IF(BR9="","",(LN(BT9)))</f>
        <v/>
      </c>
      <c r="BV9" s="50" t="str">
        <f t="shared" ref="BV9:BV72" si="9">IF(BR9="","",(BR9*BU9))</f>
        <v/>
      </c>
      <c r="BW9" s="50" t="str">
        <f t="shared" ref="BW9:BW72" si="10">IF(BR9="","",(BR9^2))</f>
        <v/>
      </c>
      <c r="BX9" s="50" t="str">
        <f>IF(BU9="","",BU9^2)</f>
        <v/>
      </c>
      <c r="BY9" s="45"/>
      <c r="BZ9" s="43"/>
      <c r="CA9" s="72"/>
      <c r="CB9" s="72"/>
      <c r="CC9" s="72"/>
      <c r="CD9" s="72"/>
      <c r="CE9" s="72"/>
      <c r="CF9" s="72"/>
      <c r="CG9" s="72"/>
      <c r="CH9" s="72"/>
      <c r="CI9" s="72"/>
      <c r="CJ9" s="72"/>
      <c r="CK9" s="70"/>
      <c r="CL9" s="70"/>
    </row>
    <row r="10" spans="1:90" x14ac:dyDescent="0.3">
      <c r="A10" s="48">
        <f>'EINGABEN EINZELWERTE'!A7</f>
        <v>6000</v>
      </c>
      <c r="B10" s="45">
        <f>IF(COUNTIF(A9:A14,"&lt;&gt;")-COUNTIF(A9:A14,0)&lt;6,0,A10)</f>
        <v>6000</v>
      </c>
      <c r="C10" s="48">
        <f>IF((B10=""),MAX(B9:B108),B10)</f>
        <v>6000</v>
      </c>
      <c r="D10" s="45">
        <f>SMALL(C9:C108,2)</f>
        <v>5000</v>
      </c>
      <c r="E10" s="45">
        <f>LARGE(C9:C108,2)</f>
        <v>20000</v>
      </c>
      <c r="F10" s="49">
        <f>IF(Q6=1,D10,-E10)</f>
        <v>-20000</v>
      </c>
      <c r="G10" s="49">
        <f t="shared" si="0"/>
        <v>0.11251763361691523</v>
      </c>
      <c r="H10" s="49">
        <f t="shared" ref="H10:H73" si="11">_xlfn.NORM.DIST(F10,$G$109,$G$110,1)</f>
        <v>0.10731709395383104</v>
      </c>
      <c r="I10" s="45"/>
      <c r="J10" s="45">
        <f>IF(Q6=1,D10,D10)</f>
        <v>5000</v>
      </c>
      <c r="K10" s="45">
        <f t="shared" ref="K10:K73" si="12">_xlfn.NORM.DIST(J10,$J$109,$J$110,1)</f>
        <v>8.4097670993939222E-2</v>
      </c>
      <c r="L10" s="45">
        <f t="shared" ref="L10:L73" si="13">_xlfn.NORM.DIST(J10,$K$111,$K$110,1)</f>
        <v>0.26097401204519144</v>
      </c>
      <c r="M10" s="45">
        <f t="shared" si="1"/>
        <v>8.6827591245800848E-2</v>
      </c>
      <c r="N10" s="48"/>
      <c r="O10" s="68"/>
      <c r="P10" s="67"/>
      <c r="Q10" s="68"/>
      <c r="R10" s="68"/>
      <c r="S10" s="45">
        <f t="shared" si="2"/>
        <v>0.11251763361691523</v>
      </c>
      <c r="T10" s="45">
        <f t="shared" si="3"/>
        <v>0.10731709395383104</v>
      </c>
      <c r="U10" s="48">
        <f t="shared" ref="U10:U73" si="14">(LN(S10+0.000000001))</f>
        <v>-2.1846453174716394</v>
      </c>
      <c r="V10" s="48">
        <f t="shared" ref="V10:V73" si="15">(LN(T10+10^-9))</f>
        <v>-2.2319673228012329</v>
      </c>
      <c r="W10" s="45">
        <f t="shared" ref="W10:W73" si="16">(U10*V10)</f>
        <v>4.876056960507424</v>
      </c>
      <c r="X10" s="45">
        <f t="shared" ref="X10:X73" si="17">(U10)^2</f>
        <v>4.77267516315076</v>
      </c>
      <c r="Y10" s="45">
        <f t="shared" ref="Y10:Y73" si="18">(V10)^2</f>
        <v>4.9816781300525026</v>
      </c>
      <c r="Z10" s="45"/>
      <c r="AA10" s="45">
        <f t="shared" si="4"/>
        <v>0.11251763361691523</v>
      </c>
      <c r="AB10" s="45">
        <f t="shared" ref="AB10:AB73" si="19">IF(B10="",1,H10)</f>
        <v>0.10731709395383104</v>
      </c>
      <c r="AC10" s="45">
        <f t="shared" ref="AC10:AC73" si="20">(LN(AA10+0.000000001))</f>
        <v>-2.1846453174716394</v>
      </c>
      <c r="AD10" s="45">
        <f t="shared" ref="AD10:AD73" si="21">(LN(AB10+10^-9))</f>
        <v>-2.2319673228012329</v>
      </c>
      <c r="AE10" s="45">
        <f t="shared" ref="AE10:AE73" si="22">(AC10*AD10)</f>
        <v>4.876056960507424</v>
      </c>
      <c r="AF10" s="45">
        <f t="shared" ref="AF10:AF73" si="23">(AC10)^2</f>
        <v>4.77267516315076</v>
      </c>
      <c r="AG10" s="45">
        <f t="shared" ref="AG10:AG73" si="24">(AD10)^2</f>
        <v>4.9816781300525026</v>
      </c>
      <c r="AH10" s="45"/>
      <c r="AI10" s="45">
        <f t="shared" ref="AI10:AI73" si="25">IF(B10="",1,K10)</f>
        <v>8.4097670993939222E-2</v>
      </c>
      <c r="AJ10" s="45">
        <f t="shared" ref="AJ10:AJ73" si="26">IF(B10="",1,L10)</f>
        <v>0.26097401204519144</v>
      </c>
      <c r="AK10" s="45">
        <f t="shared" ref="AK10:AK73" si="27">(LN(AI10+0.000000001))</f>
        <v>-2.475776393790186</v>
      </c>
      <c r="AL10" s="45">
        <f t="shared" ref="AL10:AL73" si="28">(LN(AJ10+10^-9))</f>
        <v>-1.3433344434932153</v>
      </c>
      <c r="AM10" s="45">
        <f t="shared" ref="AM10:AM73" si="29">(AK10*AL10)</f>
        <v>3.3257957041657789</v>
      </c>
      <c r="AN10" s="45">
        <f t="shared" ref="AN10:AN73" si="30">(AK10)^2</f>
        <v>6.1294687520487381</v>
      </c>
      <c r="AO10" s="45">
        <f t="shared" ref="AO10:AO73" si="31">(AL10)^2</f>
        <v>1.8045474270752264</v>
      </c>
      <c r="AP10" s="45"/>
      <c r="AQ10" s="45">
        <f t="shared" ref="AQ10:AQ73" si="32">IF(B10="",1,K10)</f>
        <v>8.4097670993939222E-2</v>
      </c>
      <c r="AR10" s="45">
        <f t="shared" ref="AR10:AR73" si="33">IF(B10="",1,M10)</f>
        <v>8.6827591245800848E-2</v>
      </c>
      <c r="AS10" s="45">
        <f t="shared" ref="AS10:AS73" si="34">(LN(AQ10+0.000000001))</f>
        <v>-2.475776393790186</v>
      </c>
      <c r="AT10" s="45">
        <f t="shared" ref="AT10:AT73" si="35">(LN(AR10+10^-9))</f>
        <v>-2.4438308248137948</v>
      </c>
      <c r="AU10" s="45">
        <f t="shared" ref="AU10:AU73" si="36">(AS10*AT10)</f>
        <v>6.0503786664907926</v>
      </c>
      <c r="AV10" s="45">
        <f t="shared" ref="AV10:AV73" si="37">(AS10)^2</f>
        <v>6.1294687520487381</v>
      </c>
      <c r="AW10" s="45">
        <f t="shared" ref="AW10:AW73" si="38">(AT10)^2</f>
        <v>5.9723091003100723</v>
      </c>
      <c r="AX10" s="45"/>
      <c r="AY10" s="45"/>
      <c r="AZ10" s="45"/>
      <c r="BA10" s="45">
        <f t="shared" ref="BA10:BA73" si="39">IF(B10="","",F10)</f>
        <v>-20000</v>
      </c>
      <c r="BB10" s="45">
        <f t="shared" ref="BB10:BB73" si="40">IF(BA10="","",H10)</f>
        <v>0.10731709395383104</v>
      </c>
      <c r="BC10" s="45">
        <f t="shared" ref="BC10:BC73" si="41">IF(BA10="","",(BB10^-1-1)^-1)</f>
        <v>0.12021860531546985</v>
      </c>
      <c r="BD10" s="45">
        <f t="shared" ref="BD10:BD73" si="42">IF(BA10="","",(LN(BC10)))</f>
        <v>-2.1184434825408114</v>
      </c>
      <c r="BE10" s="45">
        <f t="shared" si="5"/>
        <v>42368.869650816225</v>
      </c>
      <c r="BF10" s="45">
        <f t="shared" si="6"/>
        <v>400000000</v>
      </c>
      <c r="BG10" s="45">
        <f t="shared" ref="BG10:BG73" si="43">IF(BD10="","",BD10^2)</f>
        <v>4.487802788719641</v>
      </c>
      <c r="BH10" s="45"/>
      <c r="BI10" s="45">
        <f>(F10)</f>
        <v>-20000</v>
      </c>
      <c r="BJ10" s="45">
        <f t="shared" ref="BJ10:BJ73" si="44">IF(BI10="","",H10)</f>
        <v>0.10731709395383104</v>
      </c>
      <c r="BK10" s="45">
        <f t="shared" ref="BK10:BK73" si="45">IF(BI10="","",(BJ10^-1-1)^-1)</f>
        <v>0.12021860531546985</v>
      </c>
      <c r="BL10" s="45">
        <f t="shared" ref="BL10:BL73" si="46">IF(BI10="","",(LN(BK10)))</f>
        <v>-2.1184434825408114</v>
      </c>
      <c r="BM10" s="45">
        <f t="shared" si="7"/>
        <v>42368.869650816225</v>
      </c>
      <c r="BN10" s="45">
        <f t="shared" si="8"/>
        <v>400000000</v>
      </c>
      <c r="BO10" s="45">
        <f t="shared" ref="BO10:BO73" si="47">IF(BL10="","",BL10^2)</f>
        <v>4.487802788719641</v>
      </c>
      <c r="BP10" s="45"/>
      <c r="BQ10" s="45"/>
      <c r="BR10" s="50" t="str">
        <f>IF(B107="","",F10)</f>
        <v/>
      </c>
      <c r="BS10" s="50" t="str">
        <f>IF(B107="","",BJ10)</f>
        <v/>
      </c>
      <c r="BT10" s="50" t="str">
        <f t="shared" ref="BT10:BT73" si="48">IF(BR10="","",(BS10^-1-1)^-1)</f>
        <v/>
      </c>
      <c r="BU10" s="50" t="str">
        <f t="shared" ref="BU10:BU73" si="49">IF(BR10="","",(LN(BT10)))</f>
        <v/>
      </c>
      <c r="BV10" s="50" t="str">
        <f t="shared" si="9"/>
        <v/>
      </c>
      <c r="BW10" s="50" t="str">
        <f t="shared" si="10"/>
        <v/>
      </c>
      <c r="BX10" s="50" t="str">
        <f t="shared" ref="BX10:BX73" si="50">IF(BU10="","",BU10^2)</f>
        <v/>
      </c>
      <c r="BY10" s="45"/>
      <c r="BZ10" s="43"/>
      <c r="CA10" s="72"/>
      <c r="CB10" s="72"/>
      <c r="CC10" s="72"/>
      <c r="CD10" s="72"/>
      <c r="CE10" s="72"/>
      <c r="CF10" s="72"/>
      <c r="CG10" s="72"/>
      <c r="CH10" s="72"/>
      <c r="CI10" s="72"/>
      <c r="CJ10" s="72"/>
      <c r="CK10" s="70"/>
      <c r="CL10" s="70"/>
    </row>
    <row r="11" spans="1:90" x14ac:dyDescent="0.3">
      <c r="A11" s="48">
        <f>'EINGABEN EINZELWERTE'!A8</f>
        <v>2000</v>
      </c>
      <c r="B11" s="45">
        <f>IF(COUNTIF(A9:A14,"&lt;&gt;")-COUNTIF(A9:A14,0)&lt;6,0,A11)</f>
        <v>2000</v>
      </c>
      <c r="C11" s="48">
        <f>IF((B11=""),MAX(B9:B108),B11)</f>
        <v>2000</v>
      </c>
      <c r="D11" s="45">
        <f>SMALL(C9:C108,3)</f>
        <v>6000</v>
      </c>
      <c r="E11" s="45">
        <f>LARGE(C9:C108,3)</f>
        <v>20000</v>
      </c>
      <c r="F11" s="49">
        <f>IF(Q6=1,D11,-E11)</f>
        <v>-20000</v>
      </c>
      <c r="G11" s="49">
        <f t="shared" si="0"/>
        <v>0.11251763361691523</v>
      </c>
      <c r="H11" s="49">
        <f t="shared" si="11"/>
        <v>0.10731709395383104</v>
      </c>
      <c r="I11" s="45"/>
      <c r="J11" s="45">
        <f>IF(Q6=1,D11,D11)</f>
        <v>6000</v>
      </c>
      <c r="K11" s="45">
        <f t="shared" si="12"/>
        <v>0.11404873337490587</v>
      </c>
      <c r="L11" s="45">
        <f t="shared" si="13"/>
        <v>0.30330181614245111</v>
      </c>
      <c r="M11" s="45">
        <f t="shared" si="1"/>
        <v>0.10839022542227969</v>
      </c>
      <c r="N11" s="48"/>
      <c r="O11" s="68"/>
      <c r="P11" s="67"/>
      <c r="Q11" s="68"/>
      <c r="R11" s="68"/>
      <c r="S11" s="45">
        <f t="shared" si="2"/>
        <v>0.11251763361691523</v>
      </c>
      <c r="T11" s="45">
        <f t="shared" si="3"/>
        <v>0.10731709395383104</v>
      </c>
      <c r="U11" s="48">
        <f t="shared" si="14"/>
        <v>-2.1846453174716394</v>
      </c>
      <c r="V11" s="48">
        <f t="shared" si="15"/>
        <v>-2.2319673228012329</v>
      </c>
      <c r="W11" s="45">
        <f t="shared" si="16"/>
        <v>4.876056960507424</v>
      </c>
      <c r="X11" s="45">
        <f t="shared" si="17"/>
        <v>4.77267516315076</v>
      </c>
      <c r="Y11" s="45">
        <f t="shared" si="18"/>
        <v>4.9816781300525026</v>
      </c>
      <c r="Z11" s="45"/>
      <c r="AA11" s="45">
        <f t="shared" si="4"/>
        <v>0.11251763361691523</v>
      </c>
      <c r="AB11" s="45">
        <f t="shared" si="19"/>
        <v>0.10731709395383104</v>
      </c>
      <c r="AC11" s="45">
        <f t="shared" si="20"/>
        <v>-2.1846453174716394</v>
      </c>
      <c r="AD11" s="45">
        <f t="shared" si="21"/>
        <v>-2.2319673228012329</v>
      </c>
      <c r="AE11" s="45">
        <f t="shared" si="22"/>
        <v>4.876056960507424</v>
      </c>
      <c r="AF11" s="45">
        <f t="shared" si="23"/>
        <v>4.77267516315076</v>
      </c>
      <c r="AG11" s="45">
        <f t="shared" si="24"/>
        <v>4.9816781300525026</v>
      </c>
      <c r="AH11" s="45"/>
      <c r="AI11" s="45">
        <f t="shared" si="25"/>
        <v>0.11404873337490587</v>
      </c>
      <c r="AJ11" s="45">
        <f t="shared" si="26"/>
        <v>0.30330181614245111</v>
      </c>
      <c r="AK11" s="45">
        <f t="shared" si="27"/>
        <v>-2.1711294274206709</v>
      </c>
      <c r="AL11" s="45">
        <f t="shared" si="28"/>
        <v>-1.1930268730676621</v>
      </c>
      <c r="AM11" s="45">
        <f t="shared" si="29"/>
        <v>2.5902157518208666</v>
      </c>
      <c r="AN11" s="45">
        <f t="shared" si="30"/>
        <v>4.7138029906120105</v>
      </c>
      <c r="AO11" s="45">
        <f t="shared" si="31"/>
        <v>1.4233131198616036</v>
      </c>
      <c r="AP11" s="45"/>
      <c r="AQ11" s="45">
        <f t="shared" si="32"/>
        <v>0.11404873337490587</v>
      </c>
      <c r="AR11" s="45">
        <f t="shared" si="33"/>
        <v>0.10839022542227969</v>
      </c>
      <c r="AS11" s="45">
        <f t="shared" si="34"/>
        <v>-2.1711294274206709</v>
      </c>
      <c r="AT11" s="45">
        <f t="shared" si="35"/>
        <v>-2.2220173561975343</v>
      </c>
      <c r="AU11" s="45">
        <f t="shared" si="36"/>
        <v>4.824287270279946</v>
      </c>
      <c r="AV11" s="45">
        <f t="shared" si="37"/>
        <v>4.7138029906120105</v>
      </c>
      <c r="AW11" s="45">
        <f t="shared" si="38"/>
        <v>4.9373611312430796</v>
      </c>
      <c r="AX11" s="45"/>
      <c r="AY11" s="45"/>
      <c r="AZ11" s="45"/>
      <c r="BA11" s="45">
        <f t="shared" si="39"/>
        <v>-20000</v>
      </c>
      <c r="BB11" s="45">
        <f t="shared" si="40"/>
        <v>0.10731709395383104</v>
      </c>
      <c r="BC11" s="45">
        <f t="shared" si="41"/>
        <v>0.12021860531546985</v>
      </c>
      <c r="BD11" s="45">
        <f t="shared" si="42"/>
        <v>-2.1184434825408114</v>
      </c>
      <c r="BE11" s="45">
        <f t="shared" si="5"/>
        <v>42368.869650816225</v>
      </c>
      <c r="BF11" s="45">
        <f t="shared" si="6"/>
        <v>400000000</v>
      </c>
      <c r="BG11" s="45">
        <f t="shared" si="43"/>
        <v>4.487802788719641</v>
      </c>
      <c r="BH11" s="45"/>
      <c r="BI11" s="45">
        <f t="shared" ref="BI11:BI73" si="51">(F11)</f>
        <v>-20000</v>
      </c>
      <c r="BJ11" s="45">
        <f t="shared" si="44"/>
        <v>0.10731709395383104</v>
      </c>
      <c r="BK11" s="45">
        <f t="shared" si="45"/>
        <v>0.12021860531546985</v>
      </c>
      <c r="BL11" s="45">
        <f t="shared" si="46"/>
        <v>-2.1184434825408114</v>
      </c>
      <c r="BM11" s="45">
        <f t="shared" si="7"/>
        <v>42368.869650816225</v>
      </c>
      <c r="BN11" s="45">
        <f t="shared" si="8"/>
        <v>400000000</v>
      </c>
      <c r="BO11" s="45">
        <f t="shared" si="47"/>
        <v>4.487802788719641</v>
      </c>
      <c r="BP11" s="45"/>
      <c r="BQ11" s="45"/>
      <c r="BR11" s="50" t="str">
        <f>IF(B106="","",F11)</f>
        <v/>
      </c>
      <c r="BS11" s="50" t="str">
        <f>IF(B106="","",BJ11)</f>
        <v/>
      </c>
      <c r="BT11" s="50" t="str">
        <f t="shared" si="48"/>
        <v/>
      </c>
      <c r="BU11" s="50" t="str">
        <f t="shared" si="49"/>
        <v/>
      </c>
      <c r="BV11" s="50" t="str">
        <f t="shared" si="9"/>
        <v/>
      </c>
      <c r="BW11" s="50" t="str">
        <f t="shared" si="10"/>
        <v/>
      </c>
      <c r="BX11" s="50" t="str">
        <f t="shared" si="50"/>
        <v/>
      </c>
      <c r="BY11" s="45"/>
      <c r="BZ11" s="43"/>
      <c r="CA11" s="72"/>
      <c r="CB11" s="72"/>
      <c r="CC11" s="72"/>
      <c r="CD11" s="72"/>
      <c r="CE11" s="72"/>
      <c r="CF11" s="72"/>
      <c r="CG11" s="72"/>
      <c r="CH11" s="72"/>
      <c r="CI11" s="72"/>
      <c r="CJ11" s="72"/>
      <c r="CK11" s="70"/>
      <c r="CL11" s="70"/>
    </row>
    <row r="12" spans="1:90" x14ac:dyDescent="0.3">
      <c r="A12" s="48">
        <f>'EINGABEN EINZELWERTE'!A9</f>
        <v>13500</v>
      </c>
      <c r="B12" s="45">
        <f>IF(COUNTIF(A9:A14,"&lt;&gt;")-COUNTIF(A9:A14,0)&lt;6,0,A12)</f>
        <v>13500</v>
      </c>
      <c r="C12" s="48">
        <f>IF((B12=""),MAX(B9:B108),B12)</f>
        <v>13500</v>
      </c>
      <c r="D12" s="45">
        <f>SMALL(C9:C108,4)</f>
        <v>9400</v>
      </c>
      <c r="E12" s="45">
        <f>LARGE(C9:C108,4)</f>
        <v>20000</v>
      </c>
      <c r="F12" s="49">
        <f>IF(Q6=1,D12,-E12)</f>
        <v>-20000</v>
      </c>
      <c r="G12" s="49">
        <f t="shared" si="0"/>
        <v>0.11251763361691523</v>
      </c>
      <c r="H12" s="49">
        <f t="shared" si="11"/>
        <v>0.10731709395383104</v>
      </c>
      <c r="I12" s="45"/>
      <c r="J12" s="45">
        <f>IF(Q6=1,D12,D12)</f>
        <v>9400</v>
      </c>
      <c r="K12" s="45">
        <f t="shared" si="12"/>
        <v>0.26831437808948166</v>
      </c>
      <c r="L12" s="45">
        <f t="shared" si="13"/>
        <v>0.46473697386216611</v>
      </c>
      <c r="M12" s="45">
        <f t="shared" si="1"/>
        <v>0.2093399393513477</v>
      </c>
      <c r="N12" s="45"/>
      <c r="O12" s="68"/>
      <c r="P12" s="67"/>
      <c r="Q12" s="68"/>
      <c r="R12" s="68"/>
      <c r="S12" s="45">
        <f t="shared" si="2"/>
        <v>0.11251763361691523</v>
      </c>
      <c r="T12" s="45">
        <f t="shared" si="3"/>
        <v>0.10731709395383104</v>
      </c>
      <c r="U12" s="48">
        <f t="shared" si="14"/>
        <v>-2.1846453174716394</v>
      </c>
      <c r="V12" s="48">
        <f t="shared" si="15"/>
        <v>-2.2319673228012329</v>
      </c>
      <c r="W12" s="45">
        <f t="shared" si="16"/>
        <v>4.876056960507424</v>
      </c>
      <c r="X12" s="45">
        <f t="shared" si="17"/>
        <v>4.77267516315076</v>
      </c>
      <c r="Y12" s="45">
        <f t="shared" si="18"/>
        <v>4.9816781300525026</v>
      </c>
      <c r="Z12" s="45"/>
      <c r="AA12" s="45">
        <f t="shared" si="4"/>
        <v>0.11251763361691523</v>
      </c>
      <c r="AB12" s="45">
        <f t="shared" si="19"/>
        <v>0.10731709395383104</v>
      </c>
      <c r="AC12" s="45">
        <f t="shared" si="20"/>
        <v>-2.1846453174716394</v>
      </c>
      <c r="AD12" s="45">
        <f t="shared" si="21"/>
        <v>-2.2319673228012329</v>
      </c>
      <c r="AE12" s="45">
        <f t="shared" si="22"/>
        <v>4.876056960507424</v>
      </c>
      <c r="AF12" s="45">
        <f t="shared" si="23"/>
        <v>4.77267516315076</v>
      </c>
      <c r="AG12" s="45">
        <f t="shared" si="24"/>
        <v>4.9816781300525026</v>
      </c>
      <c r="AH12" s="45"/>
      <c r="AI12" s="45">
        <f t="shared" si="25"/>
        <v>0.26831437808948166</v>
      </c>
      <c r="AJ12" s="45">
        <f t="shared" si="26"/>
        <v>0.46473697386216611</v>
      </c>
      <c r="AK12" s="45">
        <f t="shared" si="27"/>
        <v>-1.3155959296601976</v>
      </c>
      <c r="AL12" s="45">
        <f t="shared" si="28"/>
        <v>-0.76628367889023252</v>
      </c>
      <c r="AM12" s="45">
        <f t="shared" si="29"/>
        <v>1.0081196889130317</v>
      </c>
      <c r="AN12" s="45">
        <f t="shared" si="30"/>
        <v>1.7307926501384794</v>
      </c>
      <c r="AO12" s="45">
        <f t="shared" si="31"/>
        <v>0.58719067653354895</v>
      </c>
      <c r="AP12" s="45"/>
      <c r="AQ12" s="45">
        <f t="shared" si="32"/>
        <v>0.26831437808948166</v>
      </c>
      <c r="AR12" s="45">
        <f t="shared" si="33"/>
        <v>0.2093399393513477</v>
      </c>
      <c r="AS12" s="45">
        <f t="shared" si="34"/>
        <v>-1.3155959296601976</v>
      </c>
      <c r="AT12" s="45">
        <f t="shared" si="35"/>
        <v>-1.5637958394921567</v>
      </c>
      <c r="AU12" s="45">
        <f t="shared" si="36"/>
        <v>2.0573234412554329</v>
      </c>
      <c r="AV12" s="45">
        <f t="shared" si="37"/>
        <v>1.7307926501384794</v>
      </c>
      <c r="AW12" s="45">
        <f t="shared" si="38"/>
        <v>2.445457427612979</v>
      </c>
      <c r="AX12" s="45"/>
      <c r="AY12" s="45"/>
      <c r="AZ12" s="45"/>
      <c r="BA12" s="45">
        <f t="shared" si="39"/>
        <v>-20000</v>
      </c>
      <c r="BB12" s="45">
        <f t="shared" si="40"/>
        <v>0.10731709395383104</v>
      </c>
      <c r="BC12" s="45">
        <f t="shared" si="41"/>
        <v>0.12021860531546985</v>
      </c>
      <c r="BD12" s="45">
        <f t="shared" si="42"/>
        <v>-2.1184434825408114</v>
      </c>
      <c r="BE12" s="45">
        <f t="shared" si="5"/>
        <v>42368.869650816225</v>
      </c>
      <c r="BF12" s="45">
        <f t="shared" si="6"/>
        <v>400000000</v>
      </c>
      <c r="BG12" s="45">
        <f t="shared" si="43"/>
        <v>4.487802788719641</v>
      </c>
      <c r="BH12" s="45"/>
      <c r="BI12" s="45">
        <f t="shared" si="51"/>
        <v>-20000</v>
      </c>
      <c r="BJ12" s="45">
        <f t="shared" si="44"/>
        <v>0.10731709395383104</v>
      </c>
      <c r="BK12" s="45">
        <f t="shared" si="45"/>
        <v>0.12021860531546985</v>
      </c>
      <c r="BL12" s="45">
        <f t="shared" si="46"/>
        <v>-2.1184434825408114</v>
      </c>
      <c r="BM12" s="45">
        <f t="shared" si="7"/>
        <v>42368.869650816225</v>
      </c>
      <c r="BN12" s="45">
        <f t="shared" si="8"/>
        <v>400000000</v>
      </c>
      <c r="BO12" s="45">
        <f t="shared" si="47"/>
        <v>4.487802788719641</v>
      </c>
      <c r="BP12" s="45"/>
      <c r="BQ12" s="45"/>
      <c r="BR12" s="50" t="str">
        <f>IF(B105="","",F12)</f>
        <v/>
      </c>
      <c r="BS12" s="50" t="str">
        <f>IF(B105="","",BJ12)</f>
        <v/>
      </c>
      <c r="BT12" s="50" t="str">
        <f t="shared" si="48"/>
        <v/>
      </c>
      <c r="BU12" s="50" t="str">
        <f t="shared" si="49"/>
        <v/>
      </c>
      <c r="BV12" s="50" t="str">
        <f t="shared" si="9"/>
        <v/>
      </c>
      <c r="BW12" s="50" t="str">
        <f t="shared" si="10"/>
        <v/>
      </c>
      <c r="BX12" s="50" t="str">
        <f t="shared" si="50"/>
        <v/>
      </c>
      <c r="BY12" s="45"/>
      <c r="BZ12" s="43"/>
      <c r="CA12" s="72"/>
      <c r="CB12" s="72"/>
      <c r="CC12" s="72"/>
      <c r="CD12" s="72"/>
      <c r="CE12" s="72"/>
      <c r="CF12" s="72"/>
      <c r="CG12" s="72"/>
      <c r="CH12" s="72"/>
      <c r="CI12" s="72"/>
      <c r="CJ12" s="72"/>
      <c r="CK12" s="70"/>
      <c r="CL12" s="70"/>
    </row>
    <row r="13" spans="1:90" x14ac:dyDescent="0.3">
      <c r="A13" s="48">
        <f>'EINGABEN EINZELWERTE'!A10</f>
        <v>16000</v>
      </c>
      <c r="B13" s="45">
        <f>IF(COUNTIF(A9:A14,"&lt;&gt;")-COUNTIF(A9:A14,0)&lt;6,0,A13)</f>
        <v>16000</v>
      </c>
      <c r="C13" s="48">
        <f>IF((B13=""),MAX(B9:B108),B13)</f>
        <v>16000</v>
      </c>
      <c r="D13" s="45">
        <f>SMALL(C9:C108,5)</f>
        <v>12000</v>
      </c>
      <c r="E13" s="45">
        <f>LARGE(C9:C108,5)</f>
        <v>20000</v>
      </c>
      <c r="F13" s="49">
        <f>IF(Q6=1,D13,-E13)</f>
        <v>-20000</v>
      </c>
      <c r="G13" s="49">
        <f t="shared" si="0"/>
        <v>0.11251763361691523</v>
      </c>
      <c r="H13" s="49">
        <f t="shared" si="11"/>
        <v>0.10731709395383104</v>
      </c>
      <c r="I13" s="45"/>
      <c r="J13" s="45">
        <f>IF(Q6=1,D13,D13)</f>
        <v>12000</v>
      </c>
      <c r="K13" s="45">
        <f t="shared" si="12"/>
        <v>0.43299075846055124</v>
      </c>
      <c r="L13" s="45">
        <f t="shared" si="13"/>
        <v>0.59389649968001246</v>
      </c>
      <c r="M13" s="45">
        <f t="shared" si="1"/>
        <v>0.31468026513183678</v>
      </c>
      <c r="N13" s="48"/>
      <c r="O13" s="68"/>
      <c r="P13" s="67"/>
      <c r="Q13" s="68"/>
      <c r="R13" s="68"/>
      <c r="S13" s="45">
        <f t="shared" si="2"/>
        <v>0.11251763361691523</v>
      </c>
      <c r="T13" s="45">
        <f t="shared" si="3"/>
        <v>0.10731709395383104</v>
      </c>
      <c r="U13" s="48">
        <f t="shared" si="14"/>
        <v>-2.1846453174716394</v>
      </c>
      <c r="V13" s="48">
        <f t="shared" si="15"/>
        <v>-2.2319673228012329</v>
      </c>
      <c r="W13" s="45">
        <f t="shared" si="16"/>
        <v>4.876056960507424</v>
      </c>
      <c r="X13" s="45">
        <f t="shared" si="17"/>
        <v>4.77267516315076</v>
      </c>
      <c r="Y13" s="45">
        <f t="shared" si="18"/>
        <v>4.9816781300525026</v>
      </c>
      <c r="Z13" s="45"/>
      <c r="AA13" s="45">
        <f t="shared" si="4"/>
        <v>0.11251763361691523</v>
      </c>
      <c r="AB13" s="45">
        <f t="shared" si="19"/>
        <v>0.10731709395383104</v>
      </c>
      <c r="AC13" s="45">
        <f t="shared" si="20"/>
        <v>-2.1846453174716394</v>
      </c>
      <c r="AD13" s="45">
        <f t="shared" si="21"/>
        <v>-2.2319673228012329</v>
      </c>
      <c r="AE13" s="45">
        <f t="shared" si="22"/>
        <v>4.876056960507424</v>
      </c>
      <c r="AF13" s="45">
        <f t="shared" si="23"/>
        <v>4.77267516315076</v>
      </c>
      <c r="AG13" s="45">
        <f t="shared" si="24"/>
        <v>4.9816781300525026</v>
      </c>
      <c r="AH13" s="45"/>
      <c r="AI13" s="45">
        <f t="shared" si="25"/>
        <v>0.43299075846055124</v>
      </c>
      <c r="AJ13" s="45">
        <f t="shared" si="26"/>
        <v>0.59389649968001246</v>
      </c>
      <c r="AK13" s="45">
        <f t="shared" si="27"/>
        <v>-0.83703889194512093</v>
      </c>
      <c r="AL13" s="45">
        <f t="shared" si="28"/>
        <v>-0.52105021608070778</v>
      </c>
      <c r="AM13" s="45">
        <f t="shared" si="29"/>
        <v>0.43613929551596148</v>
      </c>
      <c r="AN13" s="45">
        <f t="shared" si="30"/>
        <v>0.70063410662871584</v>
      </c>
      <c r="AO13" s="45">
        <f t="shared" si="31"/>
        <v>0.27149332767775225</v>
      </c>
      <c r="AP13" s="45"/>
      <c r="AQ13" s="45">
        <f t="shared" si="32"/>
        <v>0.43299075846055124</v>
      </c>
      <c r="AR13" s="45">
        <f t="shared" si="33"/>
        <v>0.31468026513183678</v>
      </c>
      <c r="AS13" s="45">
        <f t="shared" si="34"/>
        <v>-0.83703889194512093</v>
      </c>
      <c r="AT13" s="45">
        <f t="shared" si="35"/>
        <v>-1.1561981837993327</v>
      </c>
      <c r="AU13" s="45">
        <f t="shared" si="36"/>
        <v>0.96778284663635472</v>
      </c>
      <c r="AV13" s="45">
        <f t="shared" si="37"/>
        <v>0.70063410662871584</v>
      </c>
      <c r="AW13" s="45">
        <f t="shared" si="38"/>
        <v>1.3367942402208755</v>
      </c>
      <c r="AX13" s="45"/>
      <c r="AY13" s="45"/>
      <c r="AZ13" s="45"/>
      <c r="BA13" s="45">
        <f t="shared" si="39"/>
        <v>-20000</v>
      </c>
      <c r="BB13" s="45">
        <f t="shared" si="40"/>
        <v>0.10731709395383104</v>
      </c>
      <c r="BC13" s="45">
        <f t="shared" si="41"/>
        <v>0.12021860531546985</v>
      </c>
      <c r="BD13" s="45">
        <f t="shared" si="42"/>
        <v>-2.1184434825408114</v>
      </c>
      <c r="BE13" s="45">
        <f t="shared" si="5"/>
        <v>42368.869650816225</v>
      </c>
      <c r="BF13" s="45">
        <f t="shared" si="6"/>
        <v>400000000</v>
      </c>
      <c r="BG13" s="45">
        <f t="shared" si="43"/>
        <v>4.487802788719641</v>
      </c>
      <c r="BH13" s="45"/>
      <c r="BI13" s="45">
        <f t="shared" si="51"/>
        <v>-20000</v>
      </c>
      <c r="BJ13" s="45">
        <f t="shared" si="44"/>
        <v>0.10731709395383104</v>
      </c>
      <c r="BK13" s="45">
        <f t="shared" si="45"/>
        <v>0.12021860531546985</v>
      </c>
      <c r="BL13" s="45">
        <f t="shared" si="46"/>
        <v>-2.1184434825408114</v>
      </c>
      <c r="BM13" s="45">
        <f t="shared" si="7"/>
        <v>42368.869650816225</v>
      </c>
      <c r="BN13" s="45">
        <f t="shared" si="8"/>
        <v>400000000</v>
      </c>
      <c r="BO13" s="45">
        <f t="shared" si="47"/>
        <v>4.487802788719641</v>
      </c>
      <c r="BP13" s="45"/>
      <c r="BQ13" s="45"/>
      <c r="BR13" s="50" t="str">
        <f>IF(B104="","",F13)</f>
        <v/>
      </c>
      <c r="BS13" s="50" t="str">
        <f>IF(B104="","",BJ13)</f>
        <v/>
      </c>
      <c r="BT13" s="50" t="str">
        <f t="shared" si="48"/>
        <v/>
      </c>
      <c r="BU13" s="50" t="str">
        <f t="shared" si="49"/>
        <v/>
      </c>
      <c r="BV13" s="50" t="str">
        <f t="shared" si="9"/>
        <v/>
      </c>
      <c r="BW13" s="50" t="str">
        <f t="shared" si="10"/>
        <v/>
      </c>
      <c r="BX13" s="50" t="str">
        <f t="shared" si="50"/>
        <v/>
      </c>
      <c r="BY13" s="45"/>
      <c r="BZ13" s="43"/>
      <c r="CA13" s="72"/>
      <c r="CB13" s="72"/>
      <c r="CC13" s="72"/>
      <c r="CD13" s="72"/>
      <c r="CE13" s="72"/>
      <c r="CF13" s="72"/>
      <c r="CG13" s="72"/>
      <c r="CH13" s="72"/>
      <c r="CI13" s="72"/>
      <c r="CJ13" s="72"/>
      <c r="CK13" s="70"/>
      <c r="CL13" s="70"/>
    </row>
    <row r="14" spans="1:90" x14ac:dyDescent="0.3">
      <c r="A14" s="48">
        <f>'EINGABEN EINZELWERTE'!A11</f>
        <v>20000</v>
      </c>
      <c r="B14" s="45">
        <f>IF(COUNTIF(A9:A14,"&lt;&gt;")-COUNTIF(A9:A14,0)&lt;6,0,A14)</f>
        <v>20000</v>
      </c>
      <c r="C14" s="48">
        <f>IF((B14=""),MAX(B9:B108),B14)</f>
        <v>20000</v>
      </c>
      <c r="D14" s="45">
        <f>SMALL(C9:C108,6)</f>
        <v>13500</v>
      </c>
      <c r="E14" s="45">
        <f>LARGE(C9:C108,6)</f>
        <v>20000</v>
      </c>
      <c r="F14" s="49">
        <f>IF(Q6=1,D14,-E14)</f>
        <v>-20000</v>
      </c>
      <c r="G14" s="49">
        <f t="shared" si="0"/>
        <v>0.11251763361691523</v>
      </c>
      <c r="H14" s="49">
        <f t="shared" si="11"/>
        <v>0.10731709395383104</v>
      </c>
      <c r="I14" s="45"/>
      <c r="J14" s="45">
        <f>IF(Q6=1,D14,D14)</f>
        <v>13500</v>
      </c>
      <c r="K14" s="45">
        <f t="shared" si="12"/>
        <v>0.5360003600869736</v>
      </c>
      <c r="L14" s="45">
        <f t="shared" si="13"/>
        <v>0.66483920057541201</v>
      </c>
      <c r="M14" s="45">
        <f t="shared" si="1"/>
        <v>0.38418783418382835</v>
      </c>
      <c r="N14" s="58"/>
      <c r="O14" s="68"/>
      <c r="P14" s="67"/>
      <c r="Q14" s="68"/>
      <c r="R14" s="68"/>
      <c r="S14" s="45">
        <f t="shared" si="2"/>
        <v>0.11251763361691523</v>
      </c>
      <c r="T14" s="45">
        <f t="shared" si="3"/>
        <v>0.10731709395383104</v>
      </c>
      <c r="U14" s="48">
        <f t="shared" si="14"/>
        <v>-2.1846453174716394</v>
      </c>
      <c r="V14" s="48">
        <f t="shared" si="15"/>
        <v>-2.2319673228012329</v>
      </c>
      <c r="W14" s="45">
        <f t="shared" si="16"/>
        <v>4.876056960507424</v>
      </c>
      <c r="X14" s="45">
        <f t="shared" si="17"/>
        <v>4.77267516315076</v>
      </c>
      <c r="Y14" s="45">
        <f t="shared" si="18"/>
        <v>4.9816781300525026</v>
      </c>
      <c r="Z14" s="45"/>
      <c r="AA14" s="45">
        <f t="shared" si="4"/>
        <v>0.11251763361691523</v>
      </c>
      <c r="AB14" s="45">
        <f t="shared" si="19"/>
        <v>0.10731709395383104</v>
      </c>
      <c r="AC14" s="45">
        <f t="shared" si="20"/>
        <v>-2.1846453174716394</v>
      </c>
      <c r="AD14" s="45">
        <f t="shared" si="21"/>
        <v>-2.2319673228012329</v>
      </c>
      <c r="AE14" s="45">
        <f t="shared" si="22"/>
        <v>4.876056960507424</v>
      </c>
      <c r="AF14" s="45">
        <f t="shared" si="23"/>
        <v>4.77267516315076</v>
      </c>
      <c r="AG14" s="45">
        <f t="shared" si="24"/>
        <v>4.9816781300525026</v>
      </c>
      <c r="AH14" s="45"/>
      <c r="AI14" s="45">
        <f t="shared" si="25"/>
        <v>0.5360003600869736</v>
      </c>
      <c r="AJ14" s="45">
        <f t="shared" si="26"/>
        <v>0.66483920057541201</v>
      </c>
      <c r="AK14" s="45">
        <f t="shared" si="27"/>
        <v>-0.62362044424183516</v>
      </c>
      <c r="AL14" s="45">
        <f t="shared" si="28"/>
        <v>-0.40821006970737195</v>
      </c>
      <c r="AM14" s="45">
        <f t="shared" si="29"/>
        <v>0.25456814501490177</v>
      </c>
      <c r="AN14" s="45">
        <f t="shared" si="30"/>
        <v>0.38890245847638383</v>
      </c>
      <c r="AO14" s="45">
        <f t="shared" si="31"/>
        <v>0.16663546101049748</v>
      </c>
      <c r="AP14" s="45"/>
      <c r="AQ14" s="45">
        <f t="shared" si="32"/>
        <v>0.5360003600869736</v>
      </c>
      <c r="AR14" s="45">
        <f t="shared" si="33"/>
        <v>0.38418783418382835</v>
      </c>
      <c r="AS14" s="45">
        <f t="shared" si="34"/>
        <v>-0.62362044424183516</v>
      </c>
      <c r="AT14" s="45">
        <f t="shared" si="35"/>
        <v>-0.95662369186673668</v>
      </c>
      <c r="AU14" s="45">
        <f t="shared" si="36"/>
        <v>0.59657009169419872</v>
      </c>
      <c r="AV14" s="45">
        <f t="shared" si="37"/>
        <v>0.38890245847638383</v>
      </c>
      <c r="AW14" s="45">
        <f t="shared" si="38"/>
        <v>0.9151288878407452</v>
      </c>
      <c r="AX14" s="45"/>
      <c r="AY14" s="45"/>
      <c r="AZ14" s="45"/>
      <c r="BA14" s="45">
        <f t="shared" si="39"/>
        <v>-20000</v>
      </c>
      <c r="BB14" s="45">
        <f t="shared" si="40"/>
        <v>0.10731709395383104</v>
      </c>
      <c r="BC14" s="45">
        <f t="shared" si="41"/>
        <v>0.12021860531546985</v>
      </c>
      <c r="BD14" s="45">
        <f t="shared" si="42"/>
        <v>-2.1184434825408114</v>
      </c>
      <c r="BE14" s="45">
        <f t="shared" si="5"/>
        <v>42368.869650816225</v>
      </c>
      <c r="BF14" s="45">
        <f t="shared" si="6"/>
        <v>400000000</v>
      </c>
      <c r="BG14" s="45">
        <f t="shared" si="43"/>
        <v>4.487802788719641</v>
      </c>
      <c r="BH14" s="45"/>
      <c r="BI14" s="45">
        <f t="shared" si="51"/>
        <v>-20000</v>
      </c>
      <c r="BJ14" s="45">
        <f t="shared" si="44"/>
        <v>0.10731709395383104</v>
      </c>
      <c r="BK14" s="45">
        <f t="shared" si="45"/>
        <v>0.12021860531546985</v>
      </c>
      <c r="BL14" s="45">
        <f t="shared" si="46"/>
        <v>-2.1184434825408114</v>
      </c>
      <c r="BM14" s="45">
        <f t="shared" si="7"/>
        <v>42368.869650816225</v>
      </c>
      <c r="BN14" s="45">
        <f t="shared" si="8"/>
        <v>400000000</v>
      </c>
      <c r="BO14" s="45">
        <f t="shared" si="47"/>
        <v>4.487802788719641</v>
      </c>
      <c r="BP14" s="45"/>
      <c r="BQ14" s="45"/>
      <c r="BR14" s="50" t="str">
        <f>IF(B103="","",F14)</f>
        <v/>
      </c>
      <c r="BS14" s="50" t="str">
        <f>IF(B103="","",BJ14)</f>
        <v/>
      </c>
      <c r="BT14" s="50" t="str">
        <f t="shared" si="48"/>
        <v/>
      </c>
      <c r="BU14" s="50" t="str">
        <f t="shared" si="49"/>
        <v/>
      </c>
      <c r="BV14" s="50" t="str">
        <f t="shared" si="9"/>
        <v/>
      </c>
      <c r="BW14" s="50" t="str">
        <f t="shared" si="10"/>
        <v/>
      </c>
      <c r="BX14" s="50" t="str">
        <f t="shared" si="50"/>
        <v/>
      </c>
      <c r="BY14" s="45"/>
      <c r="BZ14" s="43"/>
      <c r="CA14" s="72"/>
      <c r="CB14" s="72"/>
      <c r="CC14" s="72"/>
      <c r="CD14" s="72"/>
      <c r="CE14" s="72"/>
      <c r="CF14" s="72"/>
      <c r="CG14" s="72"/>
      <c r="CH14" s="72"/>
      <c r="CI14" s="72"/>
      <c r="CJ14" s="72"/>
      <c r="CK14" s="70"/>
      <c r="CL14" s="70"/>
    </row>
    <row r="15" spans="1:90" x14ac:dyDescent="0.3">
      <c r="A15" s="48">
        <f>'EINGABEN EINZELWERTE'!A12</f>
        <v>14000</v>
      </c>
      <c r="B15" s="45">
        <f>IF(A15=0,"",A15)</f>
        <v>14000</v>
      </c>
      <c r="C15" s="48">
        <f>IF((B15=""),MAX(B9:B108),B15)</f>
        <v>14000</v>
      </c>
      <c r="D15" s="45">
        <f>SMALL(C9:C108,7)</f>
        <v>14000</v>
      </c>
      <c r="E15" s="45">
        <f>LARGE(C9:C108,7)</f>
        <v>20000</v>
      </c>
      <c r="F15" s="49">
        <f>IF(Q6=1,D15,-E15)</f>
        <v>-20000</v>
      </c>
      <c r="G15" s="49">
        <f t="shared" si="0"/>
        <v>0.11251763361691523</v>
      </c>
      <c r="H15" s="49">
        <f t="shared" si="11"/>
        <v>0.10731709395383104</v>
      </c>
      <c r="I15" s="45"/>
      <c r="J15" s="45">
        <f>IF(Q6=1,D15,D15)</f>
        <v>14000</v>
      </c>
      <c r="K15" s="45">
        <f t="shared" si="12"/>
        <v>0.57014294882393379</v>
      </c>
      <c r="L15" s="45">
        <f t="shared" si="13"/>
        <v>0.68737226096807302</v>
      </c>
      <c r="M15" s="45">
        <f t="shared" si="1"/>
        <v>0.40835005517311229</v>
      </c>
      <c r="N15" s="48"/>
      <c r="O15" s="68"/>
      <c r="P15" s="67"/>
      <c r="Q15" s="68"/>
      <c r="R15" s="68"/>
      <c r="S15" s="45">
        <f t="shared" si="2"/>
        <v>0.11251763361691523</v>
      </c>
      <c r="T15" s="45">
        <f t="shared" si="3"/>
        <v>0.10731709395383104</v>
      </c>
      <c r="U15" s="48">
        <f t="shared" si="14"/>
        <v>-2.1846453174716394</v>
      </c>
      <c r="V15" s="48">
        <f t="shared" si="15"/>
        <v>-2.2319673228012329</v>
      </c>
      <c r="W15" s="45">
        <f t="shared" si="16"/>
        <v>4.876056960507424</v>
      </c>
      <c r="X15" s="45">
        <f t="shared" si="17"/>
        <v>4.77267516315076</v>
      </c>
      <c r="Y15" s="45">
        <f t="shared" si="18"/>
        <v>4.9816781300525026</v>
      </c>
      <c r="Z15" s="45"/>
      <c r="AA15" s="45">
        <f t="shared" si="4"/>
        <v>0.11251763361691523</v>
      </c>
      <c r="AB15" s="45">
        <f t="shared" si="19"/>
        <v>0.10731709395383104</v>
      </c>
      <c r="AC15" s="45">
        <f t="shared" si="20"/>
        <v>-2.1846453174716394</v>
      </c>
      <c r="AD15" s="45">
        <f t="shared" si="21"/>
        <v>-2.2319673228012329</v>
      </c>
      <c r="AE15" s="45">
        <f t="shared" si="22"/>
        <v>4.876056960507424</v>
      </c>
      <c r="AF15" s="45">
        <f t="shared" si="23"/>
        <v>4.77267516315076</v>
      </c>
      <c r="AG15" s="45">
        <f t="shared" si="24"/>
        <v>4.9816781300525026</v>
      </c>
      <c r="AH15" s="45"/>
      <c r="AI15" s="45">
        <f t="shared" si="25"/>
        <v>0.57014294882393379</v>
      </c>
      <c r="AJ15" s="45">
        <f t="shared" si="26"/>
        <v>0.68737226096807302</v>
      </c>
      <c r="AK15" s="45">
        <f t="shared" si="27"/>
        <v>-0.56186816043109089</v>
      </c>
      <c r="AL15" s="45">
        <f t="shared" si="28"/>
        <v>-0.37487926747822481</v>
      </c>
      <c r="AM15" s="45">
        <f t="shared" si="29"/>
        <v>0.21063272440174505</v>
      </c>
      <c r="AN15" s="45">
        <f t="shared" si="30"/>
        <v>0.31569582970621807</v>
      </c>
      <c r="AO15" s="45">
        <f t="shared" si="31"/>
        <v>0.14053446518501042</v>
      </c>
      <c r="AP15" s="45"/>
      <c r="AQ15" s="45">
        <f t="shared" si="32"/>
        <v>0.57014294882393379</v>
      </c>
      <c r="AR15" s="45">
        <f t="shared" si="33"/>
        <v>0.40835005517311229</v>
      </c>
      <c r="AS15" s="45">
        <f t="shared" si="34"/>
        <v>-0.56186816043109089</v>
      </c>
      <c r="AT15" s="45">
        <f t="shared" si="35"/>
        <v>-0.89563049161667085</v>
      </c>
      <c r="AU15" s="45">
        <f t="shared" si="36"/>
        <v>0.50322625675065247</v>
      </c>
      <c r="AV15" s="45">
        <f t="shared" si="37"/>
        <v>0.31569582970621807</v>
      </c>
      <c r="AW15" s="45">
        <f t="shared" si="38"/>
        <v>0.80215397751351947</v>
      </c>
      <c r="AX15" s="45"/>
      <c r="AY15" s="45"/>
      <c r="AZ15" s="45"/>
      <c r="BA15" s="45">
        <f t="shared" si="39"/>
        <v>-20000</v>
      </c>
      <c r="BB15" s="45">
        <f t="shared" si="40"/>
        <v>0.10731709395383104</v>
      </c>
      <c r="BC15" s="45">
        <f t="shared" si="41"/>
        <v>0.12021860531546985</v>
      </c>
      <c r="BD15" s="45">
        <f t="shared" si="42"/>
        <v>-2.1184434825408114</v>
      </c>
      <c r="BE15" s="45">
        <f t="shared" si="5"/>
        <v>42368.869650816225</v>
      </c>
      <c r="BF15" s="45">
        <f t="shared" si="6"/>
        <v>400000000</v>
      </c>
      <c r="BG15" s="45">
        <f t="shared" si="43"/>
        <v>4.487802788719641</v>
      </c>
      <c r="BH15" s="45"/>
      <c r="BI15" s="45">
        <f t="shared" si="51"/>
        <v>-20000</v>
      </c>
      <c r="BJ15" s="45">
        <f t="shared" si="44"/>
        <v>0.10731709395383104</v>
      </c>
      <c r="BK15" s="45">
        <f t="shared" si="45"/>
        <v>0.12021860531546985</v>
      </c>
      <c r="BL15" s="45">
        <f t="shared" si="46"/>
        <v>-2.1184434825408114</v>
      </c>
      <c r="BM15" s="45">
        <f t="shared" si="7"/>
        <v>42368.869650816225</v>
      </c>
      <c r="BN15" s="45">
        <f t="shared" si="8"/>
        <v>400000000</v>
      </c>
      <c r="BO15" s="45">
        <f t="shared" si="47"/>
        <v>4.487802788719641</v>
      </c>
      <c r="BP15" s="45"/>
      <c r="BQ15" s="45"/>
      <c r="BR15" s="50" t="str">
        <f>IF(B102="","",F15)</f>
        <v/>
      </c>
      <c r="BS15" s="50" t="str">
        <f>IF(B102="","",BJ15)</f>
        <v/>
      </c>
      <c r="BT15" s="50" t="str">
        <f t="shared" si="48"/>
        <v/>
      </c>
      <c r="BU15" s="50" t="str">
        <f t="shared" si="49"/>
        <v/>
      </c>
      <c r="BV15" s="50" t="str">
        <f t="shared" si="9"/>
        <v/>
      </c>
      <c r="BW15" s="50" t="str">
        <f t="shared" si="10"/>
        <v/>
      </c>
      <c r="BX15" s="50" t="str">
        <f t="shared" si="50"/>
        <v/>
      </c>
      <c r="BY15" s="45"/>
      <c r="BZ15" s="43"/>
      <c r="CA15" s="72"/>
      <c r="CB15" s="72"/>
      <c r="CC15" s="72"/>
      <c r="CD15" s="72"/>
      <c r="CE15" s="72"/>
      <c r="CF15" s="72"/>
      <c r="CG15" s="72"/>
      <c r="CH15" s="72"/>
      <c r="CI15" s="72"/>
      <c r="CJ15" s="72"/>
      <c r="CK15" s="70"/>
      <c r="CL15" s="70"/>
    </row>
    <row r="16" spans="1:90" x14ac:dyDescent="0.3">
      <c r="A16" s="48">
        <f>'EINGABEN EINZELWERTE'!A13</f>
        <v>18200</v>
      </c>
      <c r="B16" s="45">
        <f t="shared" ref="B16:B79" si="52">IF(A16=0,"",A16)</f>
        <v>18200</v>
      </c>
      <c r="C16" s="48">
        <f>IF((B16=""),MAX(B9:B108),B16)</f>
        <v>18200</v>
      </c>
      <c r="D16" s="45">
        <f>SMALL(C9:C108,8)</f>
        <v>16000</v>
      </c>
      <c r="E16" s="45">
        <f>LARGE(C9:C108,8)</f>
        <v>20000</v>
      </c>
      <c r="F16" s="49">
        <f>IF(Q6=1,D16,-E16)</f>
        <v>-20000</v>
      </c>
      <c r="G16" s="49">
        <f t="shared" si="0"/>
        <v>0.11251763361691523</v>
      </c>
      <c r="H16" s="49">
        <f t="shared" si="11"/>
        <v>0.10731709395383104</v>
      </c>
      <c r="I16" s="45"/>
      <c r="J16" s="45">
        <f>IF(Q6=1,D16,D16)</f>
        <v>16000</v>
      </c>
      <c r="K16" s="45">
        <f t="shared" si="12"/>
        <v>0.69924879503060722</v>
      </c>
      <c r="L16" s="45">
        <f t="shared" si="13"/>
        <v>0.77012282938327892</v>
      </c>
      <c r="M16" s="45">
        <f t="shared" si="1"/>
        <v>0.50759719439993312</v>
      </c>
      <c r="N16" s="48"/>
      <c r="O16" s="68"/>
      <c r="P16" s="67"/>
      <c r="Q16" s="68"/>
      <c r="R16" s="68"/>
      <c r="S16" s="45">
        <f t="shared" si="2"/>
        <v>0.11251763361691523</v>
      </c>
      <c r="T16" s="45">
        <f t="shared" si="3"/>
        <v>0.10731709395383104</v>
      </c>
      <c r="U16" s="48">
        <f t="shared" si="14"/>
        <v>-2.1846453174716394</v>
      </c>
      <c r="V16" s="48">
        <f t="shared" si="15"/>
        <v>-2.2319673228012329</v>
      </c>
      <c r="W16" s="45">
        <f t="shared" si="16"/>
        <v>4.876056960507424</v>
      </c>
      <c r="X16" s="45">
        <f t="shared" si="17"/>
        <v>4.77267516315076</v>
      </c>
      <c r="Y16" s="45">
        <f t="shared" si="18"/>
        <v>4.9816781300525026</v>
      </c>
      <c r="Z16" s="45"/>
      <c r="AA16" s="45">
        <f t="shared" si="4"/>
        <v>0.11251763361691523</v>
      </c>
      <c r="AB16" s="45">
        <f t="shared" si="19"/>
        <v>0.10731709395383104</v>
      </c>
      <c r="AC16" s="45">
        <f t="shared" si="20"/>
        <v>-2.1846453174716394</v>
      </c>
      <c r="AD16" s="45">
        <f t="shared" si="21"/>
        <v>-2.2319673228012329</v>
      </c>
      <c r="AE16" s="45">
        <f t="shared" si="22"/>
        <v>4.876056960507424</v>
      </c>
      <c r="AF16" s="45">
        <f t="shared" si="23"/>
        <v>4.77267516315076</v>
      </c>
      <c r="AG16" s="45">
        <f t="shared" si="24"/>
        <v>4.9816781300525026</v>
      </c>
      <c r="AH16" s="45"/>
      <c r="AI16" s="45">
        <f t="shared" si="25"/>
        <v>0.69924879503060722</v>
      </c>
      <c r="AJ16" s="45">
        <f t="shared" si="26"/>
        <v>0.77012282938327892</v>
      </c>
      <c r="AK16" s="45">
        <f t="shared" si="27"/>
        <v>-0.35774866870261252</v>
      </c>
      <c r="AL16" s="45">
        <f t="shared" si="28"/>
        <v>-0.26120525687808205</v>
      </c>
      <c r="AM16" s="45">
        <f t="shared" si="29"/>
        <v>9.344583290625777E-2</v>
      </c>
      <c r="AN16" s="45">
        <f t="shared" si="30"/>
        <v>0.1279841099584916</v>
      </c>
      <c r="AO16" s="45">
        <f t="shared" si="31"/>
        <v>6.8228186220744835E-2</v>
      </c>
      <c r="AP16" s="45"/>
      <c r="AQ16" s="45">
        <f t="shared" si="32"/>
        <v>0.69924879503060722</v>
      </c>
      <c r="AR16" s="45">
        <f t="shared" si="33"/>
        <v>0.50759719439993312</v>
      </c>
      <c r="AS16" s="45">
        <f t="shared" si="34"/>
        <v>-0.35774866870261252</v>
      </c>
      <c r="AT16" s="45">
        <f t="shared" si="35"/>
        <v>-0.67806706837400643</v>
      </c>
      <c r="AU16" s="45">
        <f t="shared" si="36"/>
        <v>0.24257759100188414</v>
      </c>
      <c r="AV16" s="45">
        <f t="shared" si="37"/>
        <v>0.1279841099584916</v>
      </c>
      <c r="AW16" s="45">
        <f t="shared" si="38"/>
        <v>0.45977494921331952</v>
      </c>
      <c r="AX16" s="45"/>
      <c r="AY16" s="45"/>
      <c r="AZ16" s="45"/>
      <c r="BA16" s="45">
        <f t="shared" si="39"/>
        <v>-20000</v>
      </c>
      <c r="BB16" s="45">
        <f t="shared" si="40"/>
        <v>0.10731709395383104</v>
      </c>
      <c r="BC16" s="45">
        <f t="shared" si="41"/>
        <v>0.12021860531546985</v>
      </c>
      <c r="BD16" s="45">
        <f t="shared" si="42"/>
        <v>-2.1184434825408114</v>
      </c>
      <c r="BE16" s="45">
        <f t="shared" si="5"/>
        <v>42368.869650816225</v>
      </c>
      <c r="BF16" s="45">
        <f t="shared" si="6"/>
        <v>400000000</v>
      </c>
      <c r="BG16" s="45">
        <f t="shared" si="43"/>
        <v>4.487802788719641</v>
      </c>
      <c r="BH16" s="45"/>
      <c r="BI16" s="45">
        <f t="shared" si="51"/>
        <v>-20000</v>
      </c>
      <c r="BJ16" s="45">
        <f t="shared" si="44"/>
        <v>0.10731709395383104</v>
      </c>
      <c r="BK16" s="45">
        <f t="shared" si="45"/>
        <v>0.12021860531546985</v>
      </c>
      <c r="BL16" s="45">
        <f t="shared" si="46"/>
        <v>-2.1184434825408114</v>
      </c>
      <c r="BM16" s="45">
        <f t="shared" si="7"/>
        <v>42368.869650816225</v>
      </c>
      <c r="BN16" s="45">
        <f t="shared" si="8"/>
        <v>400000000</v>
      </c>
      <c r="BO16" s="45">
        <f t="shared" si="47"/>
        <v>4.487802788719641</v>
      </c>
      <c r="BP16" s="45"/>
      <c r="BQ16" s="45"/>
      <c r="BR16" s="50" t="str">
        <f>IF(B101="","",F16)</f>
        <v/>
      </c>
      <c r="BS16" s="50" t="str">
        <f>IF(B101="","",BJ16)</f>
        <v/>
      </c>
      <c r="BT16" s="50" t="str">
        <f t="shared" si="48"/>
        <v/>
      </c>
      <c r="BU16" s="50" t="str">
        <f t="shared" si="49"/>
        <v/>
      </c>
      <c r="BV16" s="50" t="str">
        <f t="shared" si="9"/>
        <v/>
      </c>
      <c r="BW16" s="50" t="str">
        <f t="shared" si="10"/>
        <v/>
      </c>
      <c r="BX16" s="50" t="str">
        <f t="shared" si="50"/>
        <v/>
      </c>
      <c r="BY16" s="45"/>
      <c r="BZ16" s="43"/>
      <c r="CA16" s="72"/>
      <c r="CB16" s="72"/>
      <c r="CC16" s="72"/>
      <c r="CD16" s="72"/>
      <c r="CE16" s="72"/>
      <c r="CF16" s="72"/>
      <c r="CG16" s="72"/>
      <c r="CH16" s="72"/>
      <c r="CI16" s="72"/>
      <c r="CJ16" s="72"/>
      <c r="CK16" s="70"/>
      <c r="CL16" s="70"/>
    </row>
    <row r="17" spans="1:90" x14ac:dyDescent="0.3">
      <c r="A17" s="48">
        <f>'EINGABEN EINZELWERTE'!A14</f>
        <v>16100</v>
      </c>
      <c r="B17" s="45">
        <f t="shared" si="52"/>
        <v>16100</v>
      </c>
      <c r="C17" s="48">
        <f>IF((B17=""),MAX(B9:B108),B17)</f>
        <v>16100</v>
      </c>
      <c r="D17" s="45">
        <f>SMALL(C9:C108,9)</f>
        <v>16100</v>
      </c>
      <c r="E17" s="45">
        <f>LARGE(C9:C108,9)</f>
        <v>20000</v>
      </c>
      <c r="F17" s="49">
        <f>IF(Q6=1,D17,-E17)</f>
        <v>-20000</v>
      </c>
      <c r="G17" s="49">
        <f t="shared" si="0"/>
        <v>0.11251763361691523</v>
      </c>
      <c r="H17" s="49">
        <f t="shared" si="11"/>
        <v>0.10731709395383104</v>
      </c>
      <c r="I17" s="45"/>
      <c r="J17" s="45">
        <f>IF(Q6=1,D17,D17)</f>
        <v>16100</v>
      </c>
      <c r="K17" s="45">
        <f t="shared" si="12"/>
        <v>0.70523468891272056</v>
      </c>
      <c r="L17" s="45">
        <f t="shared" si="13"/>
        <v>0.7739122875964195</v>
      </c>
      <c r="M17" s="45">
        <f t="shared" si="1"/>
        <v>0.51259900890064647</v>
      </c>
      <c r="N17" s="48"/>
      <c r="O17" s="68"/>
      <c r="P17" s="67"/>
      <c r="Q17" s="68"/>
      <c r="R17" s="68"/>
      <c r="S17" s="45">
        <f t="shared" si="2"/>
        <v>0.11251763361691523</v>
      </c>
      <c r="T17" s="45">
        <f t="shared" si="3"/>
        <v>0.10731709395383104</v>
      </c>
      <c r="U17" s="48">
        <f t="shared" si="14"/>
        <v>-2.1846453174716394</v>
      </c>
      <c r="V17" s="48">
        <f t="shared" si="15"/>
        <v>-2.2319673228012329</v>
      </c>
      <c r="W17" s="45">
        <f t="shared" si="16"/>
        <v>4.876056960507424</v>
      </c>
      <c r="X17" s="45">
        <f t="shared" si="17"/>
        <v>4.77267516315076</v>
      </c>
      <c r="Y17" s="45">
        <f t="shared" si="18"/>
        <v>4.9816781300525026</v>
      </c>
      <c r="Z17" s="45"/>
      <c r="AA17" s="45">
        <f t="shared" si="4"/>
        <v>0.11251763361691523</v>
      </c>
      <c r="AB17" s="45">
        <f t="shared" si="19"/>
        <v>0.10731709395383104</v>
      </c>
      <c r="AC17" s="45">
        <f t="shared" si="20"/>
        <v>-2.1846453174716394</v>
      </c>
      <c r="AD17" s="45">
        <f t="shared" si="21"/>
        <v>-2.2319673228012329</v>
      </c>
      <c r="AE17" s="45">
        <f t="shared" si="22"/>
        <v>4.876056960507424</v>
      </c>
      <c r="AF17" s="45">
        <f t="shared" si="23"/>
        <v>4.77267516315076</v>
      </c>
      <c r="AG17" s="45">
        <f t="shared" si="24"/>
        <v>4.9816781300525026</v>
      </c>
      <c r="AH17" s="45"/>
      <c r="AI17" s="45">
        <f t="shared" si="25"/>
        <v>0.70523468891272056</v>
      </c>
      <c r="AJ17" s="45">
        <f t="shared" si="26"/>
        <v>0.7739122875964195</v>
      </c>
      <c r="AK17" s="45">
        <f t="shared" si="27"/>
        <v>-0.34922463807339288</v>
      </c>
      <c r="AL17" s="45">
        <f t="shared" si="28"/>
        <v>-0.25629673404070685</v>
      </c>
      <c r="AM17" s="45">
        <f t="shared" si="29"/>
        <v>8.9505134184758486E-2</v>
      </c>
      <c r="AN17" s="45">
        <f t="shared" si="30"/>
        <v>0.12195784783749225</v>
      </c>
      <c r="AO17" s="45">
        <f t="shared" si="31"/>
        <v>6.5688015879932823E-2</v>
      </c>
      <c r="AP17" s="45"/>
      <c r="AQ17" s="45">
        <f t="shared" si="32"/>
        <v>0.70523468891272056</v>
      </c>
      <c r="AR17" s="45">
        <f t="shared" si="33"/>
        <v>0.51259900890064647</v>
      </c>
      <c r="AS17" s="45">
        <f t="shared" si="34"/>
        <v>-0.34922463807339288</v>
      </c>
      <c r="AT17" s="45">
        <f t="shared" si="35"/>
        <v>-0.66826139657832662</v>
      </c>
      <c r="AU17" s="45">
        <f t="shared" si="36"/>
        <v>0.23337334435848617</v>
      </c>
      <c r="AV17" s="45">
        <f t="shared" si="37"/>
        <v>0.12195784783749225</v>
      </c>
      <c r="AW17" s="45">
        <f t="shared" si="38"/>
        <v>0.44657329415681551</v>
      </c>
      <c r="AX17" s="45"/>
      <c r="AY17" s="45"/>
      <c r="AZ17" s="45"/>
      <c r="BA17" s="45">
        <f t="shared" si="39"/>
        <v>-20000</v>
      </c>
      <c r="BB17" s="45">
        <f t="shared" si="40"/>
        <v>0.10731709395383104</v>
      </c>
      <c r="BC17" s="45">
        <f t="shared" si="41"/>
        <v>0.12021860531546985</v>
      </c>
      <c r="BD17" s="45">
        <f t="shared" si="42"/>
        <v>-2.1184434825408114</v>
      </c>
      <c r="BE17" s="45">
        <f t="shared" si="5"/>
        <v>42368.869650816225</v>
      </c>
      <c r="BF17" s="45">
        <f t="shared" si="6"/>
        <v>400000000</v>
      </c>
      <c r="BG17" s="45">
        <f t="shared" si="43"/>
        <v>4.487802788719641</v>
      </c>
      <c r="BH17" s="45"/>
      <c r="BI17" s="45">
        <f t="shared" si="51"/>
        <v>-20000</v>
      </c>
      <c r="BJ17" s="45">
        <f t="shared" si="44"/>
        <v>0.10731709395383104</v>
      </c>
      <c r="BK17" s="45">
        <f t="shared" si="45"/>
        <v>0.12021860531546985</v>
      </c>
      <c r="BL17" s="45">
        <f t="shared" si="46"/>
        <v>-2.1184434825408114</v>
      </c>
      <c r="BM17" s="45">
        <f t="shared" si="7"/>
        <v>42368.869650816225</v>
      </c>
      <c r="BN17" s="45">
        <f t="shared" si="8"/>
        <v>400000000</v>
      </c>
      <c r="BO17" s="45">
        <f t="shared" si="47"/>
        <v>4.487802788719641</v>
      </c>
      <c r="BP17" s="45"/>
      <c r="BQ17" s="45"/>
      <c r="BR17" s="50" t="str">
        <f>IF(B100="","",F17)</f>
        <v/>
      </c>
      <c r="BS17" s="50" t="str">
        <f>IF(B100="","",BJ17)</f>
        <v/>
      </c>
      <c r="BT17" s="50" t="str">
        <f t="shared" si="48"/>
        <v/>
      </c>
      <c r="BU17" s="50" t="str">
        <f t="shared" si="49"/>
        <v/>
      </c>
      <c r="BV17" s="50" t="str">
        <f t="shared" si="9"/>
        <v/>
      </c>
      <c r="BW17" s="50" t="str">
        <f t="shared" si="10"/>
        <v/>
      </c>
      <c r="BX17" s="50" t="str">
        <f t="shared" si="50"/>
        <v/>
      </c>
      <c r="BY17" s="45"/>
      <c r="BZ17" s="43"/>
      <c r="CA17" s="72"/>
      <c r="CB17" s="72"/>
      <c r="CC17" s="72"/>
      <c r="CD17" s="72"/>
      <c r="CE17" s="72"/>
      <c r="CF17" s="72"/>
      <c r="CG17" s="72"/>
      <c r="CH17" s="72"/>
      <c r="CI17" s="72"/>
      <c r="CJ17" s="72"/>
      <c r="CK17" s="70"/>
      <c r="CL17" s="70"/>
    </row>
    <row r="18" spans="1:90" x14ac:dyDescent="0.3">
      <c r="A18" s="48">
        <f>'EINGABEN EINZELWERTE'!A15</f>
        <v>9400</v>
      </c>
      <c r="B18" s="45">
        <f t="shared" si="52"/>
        <v>9400</v>
      </c>
      <c r="C18" s="48">
        <f>IF((B18=""),MAX(B9:B108),B18)</f>
        <v>9400</v>
      </c>
      <c r="D18" s="45">
        <f>SMALL(C9:C108,10)</f>
        <v>17000</v>
      </c>
      <c r="E18" s="45">
        <f>LARGE(C9:C108,10)</f>
        <v>20000</v>
      </c>
      <c r="F18" s="49">
        <f>IF(Q6=1,D18,-E18)</f>
        <v>-20000</v>
      </c>
      <c r="G18" s="49">
        <f t="shared" si="0"/>
        <v>0.11251763361691523</v>
      </c>
      <c r="H18" s="49">
        <f t="shared" si="11"/>
        <v>0.10731709395383104</v>
      </c>
      <c r="I18" s="45"/>
      <c r="J18" s="45">
        <f>IF(Q6=1,D18,D18)</f>
        <v>17000</v>
      </c>
      <c r="K18" s="45">
        <f t="shared" si="12"/>
        <v>0.75647007106756892</v>
      </c>
      <c r="L18" s="45">
        <f t="shared" si="13"/>
        <v>0.80638984378393697</v>
      </c>
      <c r="M18" s="45">
        <f t="shared" si="1"/>
        <v>0.55743232450577618</v>
      </c>
      <c r="N18" s="48"/>
      <c r="O18" s="68"/>
      <c r="P18" s="67"/>
      <c r="Q18" s="68"/>
      <c r="R18" s="68"/>
      <c r="S18" s="45">
        <f t="shared" si="2"/>
        <v>0.11251763361691523</v>
      </c>
      <c r="T18" s="45">
        <f t="shared" si="3"/>
        <v>0.10731709395383104</v>
      </c>
      <c r="U18" s="48">
        <f t="shared" si="14"/>
        <v>-2.1846453174716394</v>
      </c>
      <c r="V18" s="48">
        <f t="shared" si="15"/>
        <v>-2.2319673228012329</v>
      </c>
      <c r="W18" s="45">
        <f t="shared" si="16"/>
        <v>4.876056960507424</v>
      </c>
      <c r="X18" s="45">
        <f t="shared" si="17"/>
        <v>4.77267516315076</v>
      </c>
      <c r="Y18" s="45">
        <f t="shared" si="18"/>
        <v>4.9816781300525026</v>
      </c>
      <c r="Z18" s="45"/>
      <c r="AA18" s="45">
        <f t="shared" si="4"/>
        <v>0.11251763361691523</v>
      </c>
      <c r="AB18" s="45">
        <f t="shared" si="19"/>
        <v>0.10731709395383104</v>
      </c>
      <c r="AC18" s="45">
        <f t="shared" si="20"/>
        <v>-2.1846453174716394</v>
      </c>
      <c r="AD18" s="45">
        <f t="shared" si="21"/>
        <v>-2.2319673228012329</v>
      </c>
      <c r="AE18" s="45">
        <f t="shared" si="22"/>
        <v>4.876056960507424</v>
      </c>
      <c r="AF18" s="45">
        <f t="shared" si="23"/>
        <v>4.77267516315076</v>
      </c>
      <c r="AG18" s="45">
        <f t="shared" si="24"/>
        <v>4.9816781300525026</v>
      </c>
      <c r="AH18" s="45"/>
      <c r="AI18" s="45">
        <f t="shared" si="25"/>
        <v>0.75647007106756892</v>
      </c>
      <c r="AJ18" s="45">
        <f t="shared" si="26"/>
        <v>0.80638984378393697</v>
      </c>
      <c r="AK18" s="45">
        <f t="shared" si="27"/>
        <v>-0.27909230758378184</v>
      </c>
      <c r="AL18" s="45">
        <f t="shared" si="28"/>
        <v>-0.21518797501821654</v>
      </c>
      <c r="AM18" s="45">
        <f t="shared" si="29"/>
        <v>6.0057308512115257E-2</v>
      </c>
      <c r="AN18" s="45">
        <f t="shared" si="30"/>
        <v>7.7892516152440291E-2</v>
      </c>
      <c r="AO18" s="45">
        <f t="shared" si="31"/>
        <v>4.6305864592440585E-2</v>
      </c>
      <c r="AP18" s="45"/>
      <c r="AQ18" s="45">
        <f t="shared" si="32"/>
        <v>0.75647007106756892</v>
      </c>
      <c r="AR18" s="45">
        <f t="shared" si="33"/>
        <v>0.55743232450577618</v>
      </c>
      <c r="AS18" s="45">
        <f t="shared" si="34"/>
        <v>-0.27909230758378184</v>
      </c>
      <c r="AT18" s="45">
        <f t="shared" si="35"/>
        <v>-0.58441417224343917</v>
      </c>
      <c r="AU18" s="45">
        <f t="shared" si="36"/>
        <v>0.16310549991608719</v>
      </c>
      <c r="AV18" s="45">
        <f t="shared" si="37"/>
        <v>7.7892516152440291E-2</v>
      </c>
      <c r="AW18" s="45">
        <f t="shared" si="38"/>
        <v>0.3415399247189842</v>
      </c>
      <c r="AX18" s="45"/>
      <c r="AY18" s="45"/>
      <c r="AZ18" s="45"/>
      <c r="BA18" s="45">
        <f t="shared" si="39"/>
        <v>-20000</v>
      </c>
      <c r="BB18" s="45">
        <f t="shared" si="40"/>
        <v>0.10731709395383104</v>
      </c>
      <c r="BC18" s="45">
        <f t="shared" si="41"/>
        <v>0.12021860531546985</v>
      </c>
      <c r="BD18" s="45">
        <f t="shared" si="42"/>
        <v>-2.1184434825408114</v>
      </c>
      <c r="BE18" s="45">
        <f t="shared" si="5"/>
        <v>42368.869650816225</v>
      </c>
      <c r="BF18" s="45">
        <f t="shared" si="6"/>
        <v>400000000</v>
      </c>
      <c r="BG18" s="45">
        <f t="shared" si="43"/>
        <v>4.487802788719641</v>
      </c>
      <c r="BH18" s="45"/>
      <c r="BI18" s="45">
        <f t="shared" si="51"/>
        <v>-20000</v>
      </c>
      <c r="BJ18" s="45">
        <f t="shared" si="44"/>
        <v>0.10731709395383104</v>
      </c>
      <c r="BK18" s="45">
        <f t="shared" si="45"/>
        <v>0.12021860531546985</v>
      </c>
      <c r="BL18" s="45">
        <f t="shared" si="46"/>
        <v>-2.1184434825408114</v>
      </c>
      <c r="BM18" s="45">
        <f t="shared" si="7"/>
        <v>42368.869650816225</v>
      </c>
      <c r="BN18" s="45">
        <f t="shared" si="8"/>
        <v>400000000</v>
      </c>
      <c r="BO18" s="45">
        <f t="shared" si="47"/>
        <v>4.487802788719641</v>
      </c>
      <c r="BP18" s="45"/>
      <c r="BQ18" s="45"/>
      <c r="BR18" s="50" t="str">
        <f>IF(B99="","",F18)</f>
        <v/>
      </c>
      <c r="BS18" s="50" t="str">
        <f>IF(B99="","",BJ18)</f>
        <v/>
      </c>
      <c r="BT18" s="50" t="str">
        <f t="shared" si="48"/>
        <v/>
      </c>
      <c r="BU18" s="50" t="str">
        <f t="shared" si="49"/>
        <v/>
      </c>
      <c r="BV18" s="50" t="str">
        <f t="shared" si="9"/>
        <v/>
      </c>
      <c r="BW18" s="50" t="str">
        <f t="shared" si="10"/>
        <v/>
      </c>
      <c r="BX18" s="50" t="str">
        <f t="shared" si="50"/>
        <v/>
      </c>
      <c r="BY18" s="45"/>
      <c r="BZ18" s="43"/>
      <c r="CA18" s="72"/>
      <c r="CB18" s="72"/>
      <c r="CC18" s="72"/>
      <c r="CD18" s="72"/>
      <c r="CE18" s="72"/>
      <c r="CF18" s="72"/>
      <c r="CG18" s="72"/>
      <c r="CH18" s="72"/>
      <c r="CI18" s="72"/>
      <c r="CJ18" s="72"/>
      <c r="CK18" s="70"/>
      <c r="CL18" s="70"/>
    </row>
    <row r="19" spans="1:90" x14ac:dyDescent="0.3">
      <c r="A19" s="48">
        <f>'EINGABEN EINZELWERTE'!A16</f>
        <v>5000</v>
      </c>
      <c r="B19" s="45">
        <f t="shared" si="52"/>
        <v>5000</v>
      </c>
      <c r="C19" s="48">
        <f>IF((B19=""),MAX(B9:B108),B19)</f>
        <v>5000</v>
      </c>
      <c r="D19" s="45">
        <f>SMALL(C9:C108,11)</f>
        <v>18200</v>
      </c>
      <c r="E19" s="45">
        <f>LARGE(C9:C108,11)</f>
        <v>20000</v>
      </c>
      <c r="F19" s="49">
        <f>IF(Q6=1,D19,-E19)</f>
        <v>-20000</v>
      </c>
      <c r="G19" s="49">
        <f t="shared" si="0"/>
        <v>0.11251763361691523</v>
      </c>
      <c r="H19" s="49">
        <f t="shared" si="11"/>
        <v>0.10731709395383104</v>
      </c>
      <c r="I19" s="45"/>
      <c r="J19" s="45">
        <f>IF(Q6=1,D19,D19)</f>
        <v>18200</v>
      </c>
      <c r="K19" s="45">
        <f t="shared" si="12"/>
        <v>0.81654979701972152</v>
      </c>
      <c r="L19" s="45">
        <f t="shared" si="13"/>
        <v>0.84498779163533733</v>
      </c>
      <c r="M19" s="45">
        <f t="shared" si="1"/>
        <v>0.61598926090858108</v>
      </c>
      <c r="N19" s="48"/>
      <c r="O19" s="68"/>
      <c r="P19" s="67"/>
      <c r="Q19" s="68"/>
      <c r="R19" s="68"/>
      <c r="S19" s="45">
        <f t="shared" si="2"/>
        <v>0.11251763361691523</v>
      </c>
      <c r="T19" s="45">
        <f t="shared" si="3"/>
        <v>0.10731709395383104</v>
      </c>
      <c r="U19" s="48">
        <f t="shared" si="14"/>
        <v>-2.1846453174716394</v>
      </c>
      <c r="V19" s="48">
        <f t="shared" si="15"/>
        <v>-2.2319673228012329</v>
      </c>
      <c r="W19" s="45">
        <f t="shared" si="16"/>
        <v>4.876056960507424</v>
      </c>
      <c r="X19" s="45">
        <f t="shared" si="17"/>
        <v>4.77267516315076</v>
      </c>
      <c r="Y19" s="45">
        <f t="shared" si="18"/>
        <v>4.9816781300525026</v>
      </c>
      <c r="Z19" s="45"/>
      <c r="AA19" s="45">
        <f t="shared" si="4"/>
        <v>0.11251763361691523</v>
      </c>
      <c r="AB19" s="45">
        <f t="shared" si="19"/>
        <v>0.10731709395383104</v>
      </c>
      <c r="AC19" s="45">
        <f t="shared" si="20"/>
        <v>-2.1846453174716394</v>
      </c>
      <c r="AD19" s="45">
        <f t="shared" si="21"/>
        <v>-2.2319673228012329</v>
      </c>
      <c r="AE19" s="45">
        <f t="shared" si="22"/>
        <v>4.876056960507424</v>
      </c>
      <c r="AF19" s="45">
        <f t="shared" si="23"/>
        <v>4.77267516315076</v>
      </c>
      <c r="AG19" s="45">
        <f t="shared" si="24"/>
        <v>4.9816781300525026</v>
      </c>
      <c r="AH19" s="45"/>
      <c r="AI19" s="45">
        <f t="shared" si="25"/>
        <v>0.81654979701972152</v>
      </c>
      <c r="AJ19" s="45">
        <f t="shared" si="26"/>
        <v>0.84498779163533733</v>
      </c>
      <c r="AK19" s="45">
        <f t="shared" si="27"/>
        <v>-0.20266737881754224</v>
      </c>
      <c r="AL19" s="45">
        <f t="shared" si="28"/>
        <v>-0.16843309831471578</v>
      </c>
      <c r="AM19" s="45">
        <f t="shared" si="29"/>
        <v>3.4135894541560838E-2</v>
      </c>
      <c r="AN19" s="45">
        <f t="shared" si="30"/>
        <v>4.1074066436773166E-2</v>
      </c>
      <c r="AO19" s="45">
        <f t="shared" si="31"/>
        <v>2.8369708607894714E-2</v>
      </c>
      <c r="AP19" s="45"/>
      <c r="AQ19" s="45">
        <f t="shared" si="32"/>
        <v>0.81654979701972152</v>
      </c>
      <c r="AR19" s="45">
        <f t="shared" si="33"/>
        <v>0.61598926090858108</v>
      </c>
      <c r="AS19" s="45">
        <f t="shared" si="34"/>
        <v>-0.20266737881754224</v>
      </c>
      <c r="AT19" s="45">
        <f t="shared" si="35"/>
        <v>-0.48452574756714495</v>
      </c>
      <c r="AU19" s="45">
        <f t="shared" si="36"/>
        <v>9.8197563229043411E-2</v>
      </c>
      <c r="AV19" s="45">
        <f t="shared" si="37"/>
        <v>4.1074066436773166E-2</v>
      </c>
      <c r="AW19" s="45">
        <f t="shared" si="38"/>
        <v>0.23476520005550067</v>
      </c>
      <c r="AX19" s="45"/>
      <c r="AY19" s="45"/>
      <c r="AZ19" s="45"/>
      <c r="BA19" s="45">
        <f t="shared" si="39"/>
        <v>-20000</v>
      </c>
      <c r="BB19" s="45">
        <f t="shared" si="40"/>
        <v>0.10731709395383104</v>
      </c>
      <c r="BC19" s="45">
        <f t="shared" si="41"/>
        <v>0.12021860531546985</v>
      </c>
      <c r="BD19" s="45">
        <f t="shared" si="42"/>
        <v>-2.1184434825408114</v>
      </c>
      <c r="BE19" s="45">
        <f t="shared" si="5"/>
        <v>42368.869650816225</v>
      </c>
      <c r="BF19" s="45">
        <f t="shared" si="6"/>
        <v>400000000</v>
      </c>
      <c r="BG19" s="45">
        <f t="shared" si="43"/>
        <v>4.487802788719641</v>
      </c>
      <c r="BH19" s="45"/>
      <c r="BI19" s="45">
        <f t="shared" si="51"/>
        <v>-20000</v>
      </c>
      <c r="BJ19" s="45">
        <f t="shared" si="44"/>
        <v>0.10731709395383104</v>
      </c>
      <c r="BK19" s="45">
        <f t="shared" si="45"/>
        <v>0.12021860531546985</v>
      </c>
      <c r="BL19" s="45">
        <f t="shared" si="46"/>
        <v>-2.1184434825408114</v>
      </c>
      <c r="BM19" s="45">
        <f t="shared" si="7"/>
        <v>42368.869650816225</v>
      </c>
      <c r="BN19" s="45">
        <f t="shared" si="8"/>
        <v>400000000</v>
      </c>
      <c r="BO19" s="45">
        <f t="shared" si="47"/>
        <v>4.487802788719641</v>
      </c>
      <c r="BP19" s="45"/>
      <c r="BQ19" s="45"/>
      <c r="BR19" s="50" t="str">
        <f>IF(B98="","",F19)</f>
        <v/>
      </c>
      <c r="BS19" s="50" t="str">
        <f>IF(B98="","",BJ19)</f>
        <v/>
      </c>
      <c r="BT19" s="50" t="str">
        <f t="shared" si="48"/>
        <v/>
      </c>
      <c r="BU19" s="50" t="str">
        <f t="shared" si="49"/>
        <v/>
      </c>
      <c r="BV19" s="50" t="str">
        <f t="shared" si="9"/>
        <v/>
      </c>
      <c r="BW19" s="50" t="str">
        <f t="shared" si="10"/>
        <v/>
      </c>
      <c r="BX19" s="50" t="str">
        <f t="shared" si="50"/>
        <v/>
      </c>
      <c r="BY19" s="45"/>
      <c r="BZ19" s="43"/>
      <c r="CA19" s="72"/>
      <c r="CB19" s="72"/>
      <c r="CC19" s="72"/>
      <c r="CD19" s="72"/>
      <c r="CE19" s="72"/>
      <c r="CF19" s="72"/>
      <c r="CG19" s="72"/>
      <c r="CH19" s="72"/>
      <c r="CI19" s="72"/>
      <c r="CJ19" s="72"/>
      <c r="CK19" s="70"/>
      <c r="CL19" s="70"/>
    </row>
    <row r="20" spans="1:90" x14ac:dyDescent="0.3">
      <c r="A20" s="48">
        <f>'EINGABEN EINZELWERTE'!A17</f>
        <v>19500</v>
      </c>
      <c r="B20" s="45">
        <f t="shared" si="52"/>
        <v>19500</v>
      </c>
      <c r="C20" s="48">
        <f>IF((B20=""),MAX(B9:B108),B20)</f>
        <v>19500</v>
      </c>
      <c r="D20" s="45">
        <f>SMALL(C9:C108,12)</f>
        <v>19500</v>
      </c>
      <c r="E20" s="45">
        <f>LARGE(C9:C108,12)</f>
        <v>20000</v>
      </c>
      <c r="F20" s="49">
        <f>IF(Q6=1,D20,-E20)</f>
        <v>-20000</v>
      </c>
      <c r="G20" s="49">
        <f t="shared" si="0"/>
        <v>0.11251763361691523</v>
      </c>
      <c r="H20" s="49">
        <f t="shared" si="11"/>
        <v>0.10731709395383104</v>
      </c>
      <c r="I20" s="45"/>
      <c r="J20" s="45">
        <f>IF(Q6=1,D20,D20)</f>
        <v>19500</v>
      </c>
      <c r="K20" s="45">
        <f t="shared" si="12"/>
        <v>0.87010160888258659</v>
      </c>
      <c r="L20" s="45">
        <f t="shared" si="13"/>
        <v>0.88064436266847201</v>
      </c>
      <c r="M20" s="45">
        <f t="shared" si="1"/>
        <v>0.6765263447920572</v>
      </c>
      <c r="N20" s="48"/>
      <c r="O20" s="68"/>
      <c r="P20" s="67"/>
      <c r="Q20" s="68"/>
      <c r="R20" s="68"/>
      <c r="S20" s="45">
        <f t="shared" si="2"/>
        <v>0.11251763361691523</v>
      </c>
      <c r="T20" s="45">
        <f t="shared" si="3"/>
        <v>0.10731709395383104</v>
      </c>
      <c r="U20" s="48">
        <f t="shared" si="14"/>
        <v>-2.1846453174716394</v>
      </c>
      <c r="V20" s="48">
        <f t="shared" si="15"/>
        <v>-2.2319673228012329</v>
      </c>
      <c r="W20" s="45">
        <f t="shared" si="16"/>
        <v>4.876056960507424</v>
      </c>
      <c r="X20" s="45">
        <f t="shared" si="17"/>
        <v>4.77267516315076</v>
      </c>
      <c r="Y20" s="45">
        <f t="shared" si="18"/>
        <v>4.9816781300525026</v>
      </c>
      <c r="Z20" s="45"/>
      <c r="AA20" s="45">
        <f t="shared" si="4"/>
        <v>0.11251763361691523</v>
      </c>
      <c r="AB20" s="45">
        <f t="shared" si="19"/>
        <v>0.10731709395383104</v>
      </c>
      <c r="AC20" s="45">
        <f t="shared" si="20"/>
        <v>-2.1846453174716394</v>
      </c>
      <c r="AD20" s="45">
        <f t="shared" si="21"/>
        <v>-2.2319673228012329</v>
      </c>
      <c r="AE20" s="45">
        <f t="shared" si="22"/>
        <v>4.876056960507424</v>
      </c>
      <c r="AF20" s="45">
        <f t="shared" si="23"/>
        <v>4.77267516315076</v>
      </c>
      <c r="AG20" s="45">
        <f t="shared" si="24"/>
        <v>4.9816781300525026</v>
      </c>
      <c r="AH20" s="45"/>
      <c r="AI20" s="45">
        <f t="shared" si="25"/>
        <v>0.87010160888258659</v>
      </c>
      <c r="AJ20" s="45">
        <f t="shared" si="26"/>
        <v>0.88064436266847201</v>
      </c>
      <c r="AK20" s="45">
        <f t="shared" si="27"/>
        <v>-0.13914528118478511</v>
      </c>
      <c r="AL20" s="45">
        <f t="shared" si="28"/>
        <v>-0.12710140801908809</v>
      </c>
      <c r="AM20" s="45">
        <f t="shared" si="29"/>
        <v>1.7685561157798114E-2</v>
      </c>
      <c r="AN20" s="45">
        <f t="shared" si="30"/>
        <v>1.9361409275992916E-2</v>
      </c>
      <c r="AO20" s="45">
        <f t="shared" si="31"/>
        <v>1.6154767920434712E-2</v>
      </c>
      <c r="AP20" s="45"/>
      <c r="AQ20" s="45">
        <f t="shared" si="32"/>
        <v>0.87010160888258659</v>
      </c>
      <c r="AR20" s="45">
        <f t="shared" si="33"/>
        <v>0.6765263447920572</v>
      </c>
      <c r="AS20" s="45">
        <f t="shared" si="34"/>
        <v>-0.13914528118478511</v>
      </c>
      <c r="AT20" s="45">
        <f t="shared" si="35"/>
        <v>-0.39078388786935525</v>
      </c>
      <c r="AU20" s="45">
        <f t="shared" si="36"/>
        <v>5.4375733960064974E-2</v>
      </c>
      <c r="AV20" s="45">
        <f t="shared" si="37"/>
        <v>1.9361409275992916E-2</v>
      </c>
      <c r="AW20" s="45">
        <f t="shared" si="38"/>
        <v>0.1527120470182888</v>
      </c>
      <c r="AX20" s="45"/>
      <c r="AY20" s="45"/>
      <c r="AZ20" s="45"/>
      <c r="BA20" s="45">
        <f t="shared" si="39"/>
        <v>-20000</v>
      </c>
      <c r="BB20" s="45">
        <f t="shared" si="40"/>
        <v>0.10731709395383104</v>
      </c>
      <c r="BC20" s="45">
        <f t="shared" si="41"/>
        <v>0.12021860531546985</v>
      </c>
      <c r="BD20" s="45">
        <f t="shared" si="42"/>
        <v>-2.1184434825408114</v>
      </c>
      <c r="BE20" s="45">
        <f t="shared" si="5"/>
        <v>42368.869650816225</v>
      </c>
      <c r="BF20" s="45">
        <f t="shared" si="6"/>
        <v>400000000</v>
      </c>
      <c r="BG20" s="45">
        <f t="shared" si="43"/>
        <v>4.487802788719641</v>
      </c>
      <c r="BH20" s="45"/>
      <c r="BI20" s="45">
        <f t="shared" si="51"/>
        <v>-20000</v>
      </c>
      <c r="BJ20" s="45">
        <f t="shared" si="44"/>
        <v>0.10731709395383104</v>
      </c>
      <c r="BK20" s="45">
        <f t="shared" si="45"/>
        <v>0.12021860531546985</v>
      </c>
      <c r="BL20" s="45">
        <f t="shared" si="46"/>
        <v>-2.1184434825408114</v>
      </c>
      <c r="BM20" s="45">
        <f t="shared" si="7"/>
        <v>42368.869650816225</v>
      </c>
      <c r="BN20" s="45">
        <f t="shared" si="8"/>
        <v>400000000</v>
      </c>
      <c r="BO20" s="45">
        <f t="shared" si="47"/>
        <v>4.487802788719641</v>
      </c>
      <c r="BP20" s="45"/>
      <c r="BQ20" s="45"/>
      <c r="BR20" s="50" t="str">
        <f>IF(B97="","",F20)</f>
        <v/>
      </c>
      <c r="BS20" s="50" t="str">
        <f>IF(B97="","",BJ20)</f>
        <v/>
      </c>
      <c r="BT20" s="50" t="str">
        <f t="shared" si="48"/>
        <v/>
      </c>
      <c r="BU20" s="50" t="str">
        <f t="shared" si="49"/>
        <v/>
      </c>
      <c r="BV20" s="50" t="str">
        <f t="shared" si="9"/>
        <v/>
      </c>
      <c r="BW20" s="50" t="str">
        <f t="shared" si="10"/>
        <v/>
      </c>
      <c r="BX20" s="50" t="str">
        <f t="shared" si="50"/>
        <v/>
      </c>
      <c r="BY20" s="45"/>
      <c r="BZ20" s="43"/>
      <c r="CA20" s="72"/>
      <c r="CB20" s="72"/>
      <c r="CC20" s="72"/>
      <c r="CD20" s="72"/>
      <c r="CE20" s="72"/>
      <c r="CF20" s="72"/>
      <c r="CG20" s="72"/>
      <c r="CH20" s="72"/>
      <c r="CI20" s="72"/>
      <c r="CJ20" s="72"/>
      <c r="CK20" s="70"/>
      <c r="CL20" s="70"/>
    </row>
    <row r="21" spans="1:90" x14ac:dyDescent="0.3">
      <c r="A21" s="48">
        <f>'EINGABEN EINZELWERTE'!A18</f>
        <v>17000</v>
      </c>
      <c r="B21" s="45">
        <f t="shared" si="52"/>
        <v>17000</v>
      </c>
      <c r="C21" s="48">
        <f>IF((B21=""),MAX(B9:B108),B21)</f>
        <v>17000</v>
      </c>
      <c r="D21" s="45">
        <f>SMALL(C9:C108,13)</f>
        <v>20000</v>
      </c>
      <c r="E21" s="45">
        <f>LARGE(C9:C108,13)</f>
        <v>20000</v>
      </c>
      <c r="F21" s="49">
        <f>IF(Q6=1,D21,-E21)</f>
        <v>-20000</v>
      </c>
      <c r="G21" s="49">
        <f t="shared" si="0"/>
        <v>0.11251763361691523</v>
      </c>
      <c r="H21" s="49">
        <f t="shared" si="11"/>
        <v>0.10731709395383104</v>
      </c>
      <c r="I21" s="45"/>
      <c r="J21" s="45">
        <f>IF(Q6=1,D21,D21)</f>
        <v>20000</v>
      </c>
      <c r="K21" s="45">
        <f t="shared" si="12"/>
        <v>0.88748236638308475</v>
      </c>
      <c r="L21" s="45">
        <f t="shared" si="13"/>
        <v>0.89268290604616896</v>
      </c>
      <c r="M21" s="45">
        <f t="shared" si="1"/>
        <v>0.69871771847211805</v>
      </c>
      <c r="N21" s="48"/>
      <c r="O21" s="68"/>
      <c r="P21" s="67"/>
      <c r="Q21" s="68"/>
      <c r="R21" s="68"/>
      <c r="S21" s="45">
        <f t="shared" si="2"/>
        <v>0.11251763361691523</v>
      </c>
      <c r="T21" s="45">
        <f t="shared" si="3"/>
        <v>0.10731709395383104</v>
      </c>
      <c r="U21" s="48">
        <f t="shared" si="14"/>
        <v>-2.1846453174716394</v>
      </c>
      <c r="V21" s="48">
        <f t="shared" si="15"/>
        <v>-2.2319673228012329</v>
      </c>
      <c r="W21" s="45">
        <f t="shared" si="16"/>
        <v>4.876056960507424</v>
      </c>
      <c r="X21" s="45">
        <f t="shared" si="17"/>
        <v>4.77267516315076</v>
      </c>
      <c r="Y21" s="45">
        <f t="shared" si="18"/>
        <v>4.9816781300525026</v>
      </c>
      <c r="Z21" s="45"/>
      <c r="AA21" s="45">
        <f t="shared" si="4"/>
        <v>0.11251763361691523</v>
      </c>
      <c r="AB21" s="45">
        <f t="shared" si="19"/>
        <v>0.10731709395383104</v>
      </c>
      <c r="AC21" s="45">
        <f t="shared" si="20"/>
        <v>-2.1846453174716394</v>
      </c>
      <c r="AD21" s="45">
        <f t="shared" si="21"/>
        <v>-2.2319673228012329</v>
      </c>
      <c r="AE21" s="45">
        <f t="shared" si="22"/>
        <v>4.876056960507424</v>
      </c>
      <c r="AF21" s="45">
        <f t="shared" si="23"/>
        <v>4.77267516315076</v>
      </c>
      <c r="AG21" s="45">
        <f t="shared" si="24"/>
        <v>4.9816781300525026</v>
      </c>
      <c r="AH21" s="45"/>
      <c r="AI21" s="45">
        <f t="shared" si="25"/>
        <v>0.88748236638308475</v>
      </c>
      <c r="AJ21" s="45">
        <f t="shared" si="26"/>
        <v>0.89268290604616896</v>
      </c>
      <c r="AK21" s="45">
        <f t="shared" si="27"/>
        <v>-0.11936662556730163</v>
      </c>
      <c r="AL21" s="45">
        <f t="shared" si="28"/>
        <v>-0.11352384845838295</v>
      </c>
      <c r="AM21" s="45">
        <f t="shared" si="29"/>
        <v>1.355095871189089E-2</v>
      </c>
      <c r="AN21" s="45">
        <f t="shared" si="30"/>
        <v>1.4248391299324386E-2</v>
      </c>
      <c r="AO21" s="45">
        <f t="shared" si="31"/>
        <v>1.2887664168801898E-2</v>
      </c>
      <c r="AP21" s="45"/>
      <c r="AQ21" s="45">
        <f t="shared" si="32"/>
        <v>0.88748236638308475</v>
      </c>
      <c r="AR21" s="45">
        <f t="shared" si="33"/>
        <v>0.69871771847211805</v>
      </c>
      <c r="AS21" s="45">
        <f t="shared" si="34"/>
        <v>-0.11936662556730163</v>
      </c>
      <c r="AT21" s="45">
        <f t="shared" si="35"/>
        <v>-0.35850845311539753</v>
      </c>
      <c r="AU21" s="45">
        <f t="shared" si="36"/>
        <v>4.279394428573817E-2</v>
      </c>
      <c r="AV21" s="45">
        <f t="shared" si="37"/>
        <v>1.4248391299324386E-2</v>
      </c>
      <c r="AW21" s="45">
        <f t="shared" si="38"/>
        <v>0.12852831095519518</v>
      </c>
      <c r="AX21" s="45"/>
      <c r="AY21" s="45"/>
      <c r="AZ21" s="45"/>
      <c r="BA21" s="45">
        <f t="shared" si="39"/>
        <v>-20000</v>
      </c>
      <c r="BB21" s="45">
        <f t="shared" si="40"/>
        <v>0.10731709395383104</v>
      </c>
      <c r="BC21" s="45">
        <f t="shared" si="41"/>
        <v>0.12021860531546985</v>
      </c>
      <c r="BD21" s="45">
        <f t="shared" si="42"/>
        <v>-2.1184434825408114</v>
      </c>
      <c r="BE21" s="45">
        <f t="shared" si="5"/>
        <v>42368.869650816225</v>
      </c>
      <c r="BF21" s="45">
        <f t="shared" si="6"/>
        <v>400000000</v>
      </c>
      <c r="BG21" s="45">
        <f t="shared" si="43"/>
        <v>4.487802788719641</v>
      </c>
      <c r="BH21" s="45"/>
      <c r="BI21" s="45">
        <f t="shared" si="51"/>
        <v>-20000</v>
      </c>
      <c r="BJ21" s="45">
        <f t="shared" si="44"/>
        <v>0.10731709395383104</v>
      </c>
      <c r="BK21" s="45">
        <f t="shared" si="45"/>
        <v>0.12021860531546985</v>
      </c>
      <c r="BL21" s="45">
        <f t="shared" si="46"/>
        <v>-2.1184434825408114</v>
      </c>
      <c r="BM21" s="45">
        <f t="shared" si="7"/>
        <v>42368.869650816225</v>
      </c>
      <c r="BN21" s="45">
        <f t="shared" si="8"/>
        <v>400000000</v>
      </c>
      <c r="BO21" s="45">
        <f t="shared" si="47"/>
        <v>4.487802788719641</v>
      </c>
      <c r="BP21" s="45"/>
      <c r="BQ21" s="45"/>
      <c r="BR21" s="50" t="str">
        <f>IF(B96="","",F21)</f>
        <v/>
      </c>
      <c r="BS21" s="50" t="str">
        <f>IF(B96="","",BJ21)</f>
        <v/>
      </c>
      <c r="BT21" s="50" t="str">
        <f t="shared" si="48"/>
        <v/>
      </c>
      <c r="BU21" s="50" t="str">
        <f t="shared" si="49"/>
        <v/>
      </c>
      <c r="BV21" s="50" t="str">
        <f t="shared" si="9"/>
        <v/>
      </c>
      <c r="BW21" s="50" t="str">
        <f t="shared" si="10"/>
        <v/>
      </c>
      <c r="BX21" s="50" t="str">
        <f t="shared" si="50"/>
        <v/>
      </c>
      <c r="BY21" s="45"/>
      <c r="BZ21" s="43"/>
      <c r="CA21" s="72"/>
      <c r="CB21" s="72"/>
      <c r="CC21" s="72"/>
      <c r="CD21" s="72"/>
      <c r="CE21" s="72"/>
      <c r="CF21" s="72"/>
      <c r="CG21" s="72"/>
      <c r="CH21" s="72"/>
      <c r="CI21" s="72"/>
      <c r="CJ21" s="72"/>
      <c r="CK21" s="70"/>
      <c r="CL21" s="70"/>
    </row>
    <row r="22" spans="1:90" x14ac:dyDescent="0.3">
      <c r="A22" s="48">
        <f>'EINGABEN EINZELWERTE'!A19</f>
        <v>0</v>
      </c>
      <c r="B22" s="50" t="str">
        <f t="shared" si="52"/>
        <v/>
      </c>
      <c r="C22" s="51">
        <f>IF((B22=""),MAX(B9:B108),B22)</f>
        <v>20000</v>
      </c>
      <c r="D22" s="50">
        <f>SMALL(C9:C108,14)</f>
        <v>20000</v>
      </c>
      <c r="E22" s="50">
        <f>LARGE(C9:C108,14)</f>
        <v>20000</v>
      </c>
      <c r="F22" s="52">
        <f>IF(Q6=1,D22,-E22)</f>
        <v>-20000</v>
      </c>
      <c r="G22" s="52">
        <f t="shared" si="0"/>
        <v>0.11251763361691523</v>
      </c>
      <c r="H22" s="49">
        <f t="shared" si="11"/>
        <v>0.10731709395383104</v>
      </c>
      <c r="I22" s="45"/>
      <c r="J22" s="45">
        <f>IF(Q6=1,D22,D22)</f>
        <v>20000</v>
      </c>
      <c r="K22" s="45">
        <f t="shared" si="12"/>
        <v>0.88748236638308475</v>
      </c>
      <c r="L22" s="45">
        <f t="shared" si="13"/>
        <v>0.89268290604616896</v>
      </c>
      <c r="M22" s="45">
        <f t="shared" si="1"/>
        <v>0.69871771847211805</v>
      </c>
      <c r="N22" s="48"/>
      <c r="O22" s="68"/>
      <c r="P22" s="67"/>
      <c r="Q22" s="68"/>
      <c r="R22" s="68"/>
      <c r="S22" s="45">
        <f t="shared" si="2"/>
        <v>1</v>
      </c>
      <c r="T22" s="45">
        <f t="shared" si="3"/>
        <v>1</v>
      </c>
      <c r="U22" s="48">
        <f t="shared" si="14"/>
        <v>1.0000000822403709E-9</v>
      </c>
      <c r="V22" s="48">
        <f t="shared" si="15"/>
        <v>1.0000000822403709E-9</v>
      </c>
      <c r="W22" s="45">
        <f t="shared" si="16"/>
        <v>1.0000001644807486E-18</v>
      </c>
      <c r="X22" s="45">
        <f t="shared" si="17"/>
        <v>1.0000001644807486E-18</v>
      </c>
      <c r="Y22" s="45">
        <f t="shared" si="18"/>
        <v>1.0000001644807486E-18</v>
      </c>
      <c r="Z22" s="45"/>
      <c r="AA22" s="45">
        <f t="shared" si="4"/>
        <v>1</v>
      </c>
      <c r="AB22" s="45">
        <f t="shared" si="19"/>
        <v>1</v>
      </c>
      <c r="AC22" s="45">
        <f t="shared" si="20"/>
        <v>1.0000000822403709E-9</v>
      </c>
      <c r="AD22" s="45">
        <f t="shared" si="21"/>
        <v>1.0000000822403709E-9</v>
      </c>
      <c r="AE22" s="45">
        <f t="shared" si="22"/>
        <v>1.0000001644807486E-18</v>
      </c>
      <c r="AF22" s="45">
        <f t="shared" si="23"/>
        <v>1.0000001644807486E-18</v>
      </c>
      <c r="AG22" s="45">
        <f t="shared" si="24"/>
        <v>1.0000001644807486E-18</v>
      </c>
      <c r="AH22" s="45"/>
      <c r="AI22" s="45">
        <f t="shared" si="25"/>
        <v>1</v>
      </c>
      <c r="AJ22" s="45">
        <f t="shared" si="26"/>
        <v>1</v>
      </c>
      <c r="AK22" s="45">
        <f t="shared" si="27"/>
        <v>1.0000000822403709E-9</v>
      </c>
      <c r="AL22" s="45">
        <f t="shared" si="28"/>
        <v>1.0000000822403709E-9</v>
      </c>
      <c r="AM22" s="45">
        <f t="shared" si="29"/>
        <v>1.0000001644807486E-18</v>
      </c>
      <c r="AN22" s="45">
        <f t="shared" si="30"/>
        <v>1.0000001644807486E-18</v>
      </c>
      <c r="AO22" s="45">
        <f t="shared" si="31"/>
        <v>1.0000001644807486E-18</v>
      </c>
      <c r="AP22" s="45"/>
      <c r="AQ22" s="45">
        <f t="shared" si="32"/>
        <v>1</v>
      </c>
      <c r="AR22" s="45">
        <f t="shared" si="33"/>
        <v>1</v>
      </c>
      <c r="AS22" s="45">
        <f t="shared" si="34"/>
        <v>1.0000000822403709E-9</v>
      </c>
      <c r="AT22" s="45">
        <f t="shared" si="35"/>
        <v>1.0000000822403709E-9</v>
      </c>
      <c r="AU22" s="45">
        <f t="shared" si="36"/>
        <v>1.0000001644807486E-18</v>
      </c>
      <c r="AV22" s="45">
        <f t="shared" si="37"/>
        <v>1.0000001644807486E-18</v>
      </c>
      <c r="AW22" s="45">
        <f t="shared" si="38"/>
        <v>1.0000001644807486E-18</v>
      </c>
      <c r="AX22" s="45"/>
      <c r="AY22" s="45"/>
      <c r="AZ22" s="45"/>
      <c r="BA22" s="45" t="str">
        <f t="shared" si="39"/>
        <v/>
      </c>
      <c r="BB22" s="45" t="str">
        <f t="shared" si="40"/>
        <v/>
      </c>
      <c r="BC22" s="45" t="str">
        <f t="shared" si="41"/>
        <v/>
      </c>
      <c r="BD22" s="45" t="str">
        <f t="shared" si="42"/>
        <v/>
      </c>
      <c r="BE22" s="45" t="str">
        <f t="shared" si="5"/>
        <v/>
      </c>
      <c r="BF22" s="45" t="str">
        <f t="shared" si="6"/>
        <v/>
      </c>
      <c r="BG22" s="45" t="str">
        <f t="shared" si="43"/>
        <v/>
      </c>
      <c r="BH22" s="45"/>
      <c r="BI22" s="45">
        <f t="shared" si="51"/>
        <v>-20000</v>
      </c>
      <c r="BJ22" s="45">
        <f t="shared" si="44"/>
        <v>0.10731709395383104</v>
      </c>
      <c r="BK22" s="45">
        <f t="shared" si="45"/>
        <v>0.12021860531546985</v>
      </c>
      <c r="BL22" s="45">
        <f t="shared" si="46"/>
        <v>-2.1184434825408114</v>
      </c>
      <c r="BM22" s="45">
        <f t="shared" si="7"/>
        <v>42368.869650816225</v>
      </c>
      <c r="BN22" s="45">
        <f t="shared" si="8"/>
        <v>400000000</v>
      </c>
      <c r="BO22" s="45">
        <f t="shared" si="47"/>
        <v>4.487802788719641</v>
      </c>
      <c r="BP22" s="45"/>
      <c r="BQ22" s="45"/>
      <c r="BR22" s="50" t="str">
        <f>IF(B95="","",F22)</f>
        <v/>
      </c>
      <c r="BS22" s="50" t="str">
        <f>IF(B95="","",BJ22)</f>
        <v/>
      </c>
      <c r="BT22" s="50" t="str">
        <f t="shared" si="48"/>
        <v/>
      </c>
      <c r="BU22" s="50" t="str">
        <f t="shared" si="49"/>
        <v/>
      </c>
      <c r="BV22" s="50" t="str">
        <f t="shared" si="9"/>
        <v/>
      </c>
      <c r="BW22" s="50" t="str">
        <f t="shared" si="10"/>
        <v/>
      </c>
      <c r="BX22" s="50" t="str">
        <f t="shared" si="50"/>
        <v/>
      </c>
      <c r="BY22" s="45"/>
      <c r="BZ22" s="43"/>
      <c r="CA22" s="72"/>
      <c r="CB22" s="72"/>
      <c r="CC22" s="72"/>
      <c r="CD22" s="72"/>
      <c r="CE22" s="72"/>
      <c r="CF22" s="72"/>
      <c r="CG22" s="72"/>
      <c r="CH22" s="72"/>
      <c r="CI22" s="72"/>
      <c r="CJ22" s="72"/>
      <c r="CK22" s="70"/>
      <c r="CL22" s="70"/>
    </row>
    <row r="23" spans="1:90" x14ac:dyDescent="0.3">
      <c r="A23" s="48">
        <f>'EINGABEN EINZELWERTE'!A20</f>
        <v>0</v>
      </c>
      <c r="B23" s="50" t="str">
        <f t="shared" si="52"/>
        <v/>
      </c>
      <c r="C23" s="51">
        <f>IF((B23=""),MAX(B9:B108),B23)</f>
        <v>20000</v>
      </c>
      <c r="D23" s="50">
        <f>SMALL(C9:C108,15)</f>
        <v>20000</v>
      </c>
      <c r="E23" s="50">
        <f>LARGE(C9:C108,15)</f>
        <v>20000</v>
      </c>
      <c r="F23" s="52">
        <f>IF(Q6=1,D23,-E23)</f>
        <v>-20000</v>
      </c>
      <c r="G23" s="52">
        <f t="shared" si="0"/>
        <v>0.11251763361691523</v>
      </c>
      <c r="H23" s="52">
        <f t="shared" si="11"/>
        <v>0.10731709395383104</v>
      </c>
      <c r="I23" s="45"/>
      <c r="J23" s="45">
        <f>IF(Q6=1,D23,D23)</f>
        <v>20000</v>
      </c>
      <c r="K23" s="45">
        <f t="shared" si="12"/>
        <v>0.88748236638308475</v>
      </c>
      <c r="L23" s="45">
        <f t="shared" si="13"/>
        <v>0.89268290604616896</v>
      </c>
      <c r="M23" s="45">
        <f t="shared" si="1"/>
        <v>0.69871771847211805</v>
      </c>
      <c r="N23" s="48"/>
      <c r="O23" s="68"/>
      <c r="P23" s="67"/>
      <c r="Q23" s="68"/>
      <c r="R23" s="68"/>
      <c r="S23" s="45">
        <f t="shared" si="2"/>
        <v>1</v>
      </c>
      <c r="T23" s="45">
        <f t="shared" si="3"/>
        <v>1</v>
      </c>
      <c r="U23" s="48">
        <f t="shared" si="14"/>
        <v>1.0000000822403709E-9</v>
      </c>
      <c r="V23" s="48">
        <f t="shared" si="15"/>
        <v>1.0000000822403709E-9</v>
      </c>
      <c r="W23" s="45">
        <f t="shared" si="16"/>
        <v>1.0000001644807486E-18</v>
      </c>
      <c r="X23" s="45">
        <f t="shared" si="17"/>
        <v>1.0000001644807486E-18</v>
      </c>
      <c r="Y23" s="45">
        <f t="shared" si="18"/>
        <v>1.0000001644807486E-18</v>
      </c>
      <c r="Z23" s="45"/>
      <c r="AA23" s="45">
        <f t="shared" si="4"/>
        <v>1</v>
      </c>
      <c r="AB23" s="45">
        <f t="shared" si="19"/>
        <v>1</v>
      </c>
      <c r="AC23" s="45">
        <f t="shared" si="20"/>
        <v>1.0000000822403709E-9</v>
      </c>
      <c r="AD23" s="45">
        <f t="shared" si="21"/>
        <v>1.0000000822403709E-9</v>
      </c>
      <c r="AE23" s="45">
        <f t="shared" si="22"/>
        <v>1.0000001644807486E-18</v>
      </c>
      <c r="AF23" s="45">
        <f t="shared" si="23"/>
        <v>1.0000001644807486E-18</v>
      </c>
      <c r="AG23" s="45">
        <f t="shared" si="24"/>
        <v>1.0000001644807486E-18</v>
      </c>
      <c r="AH23" s="45"/>
      <c r="AI23" s="45">
        <f t="shared" si="25"/>
        <v>1</v>
      </c>
      <c r="AJ23" s="45">
        <f t="shared" si="26"/>
        <v>1</v>
      </c>
      <c r="AK23" s="45">
        <f t="shared" si="27"/>
        <v>1.0000000822403709E-9</v>
      </c>
      <c r="AL23" s="45">
        <f t="shared" si="28"/>
        <v>1.0000000822403709E-9</v>
      </c>
      <c r="AM23" s="45">
        <f t="shared" si="29"/>
        <v>1.0000001644807486E-18</v>
      </c>
      <c r="AN23" s="45">
        <f t="shared" si="30"/>
        <v>1.0000001644807486E-18</v>
      </c>
      <c r="AO23" s="45">
        <f t="shared" si="31"/>
        <v>1.0000001644807486E-18</v>
      </c>
      <c r="AP23" s="45"/>
      <c r="AQ23" s="45">
        <f t="shared" si="32"/>
        <v>1</v>
      </c>
      <c r="AR23" s="45">
        <f t="shared" si="33"/>
        <v>1</v>
      </c>
      <c r="AS23" s="45">
        <f t="shared" si="34"/>
        <v>1.0000000822403709E-9</v>
      </c>
      <c r="AT23" s="45">
        <f t="shared" si="35"/>
        <v>1.0000000822403709E-9</v>
      </c>
      <c r="AU23" s="45">
        <f t="shared" si="36"/>
        <v>1.0000001644807486E-18</v>
      </c>
      <c r="AV23" s="45">
        <f t="shared" si="37"/>
        <v>1.0000001644807486E-18</v>
      </c>
      <c r="AW23" s="45">
        <f t="shared" si="38"/>
        <v>1.0000001644807486E-18</v>
      </c>
      <c r="AX23" s="45"/>
      <c r="AY23" s="45"/>
      <c r="AZ23" s="45"/>
      <c r="BA23" s="45" t="str">
        <f t="shared" si="39"/>
        <v/>
      </c>
      <c r="BB23" s="45" t="str">
        <f t="shared" si="40"/>
        <v/>
      </c>
      <c r="BC23" s="45" t="str">
        <f t="shared" si="41"/>
        <v/>
      </c>
      <c r="BD23" s="45" t="str">
        <f t="shared" si="42"/>
        <v/>
      </c>
      <c r="BE23" s="45" t="str">
        <f t="shared" si="5"/>
        <v/>
      </c>
      <c r="BF23" s="45" t="str">
        <f t="shared" si="6"/>
        <v/>
      </c>
      <c r="BG23" s="45" t="str">
        <f t="shared" si="43"/>
        <v/>
      </c>
      <c r="BH23" s="45"/>
      <c r="BI23" s="45">
        <f t="shared" si="51"/>
        <v>-20000</v>
      </c>
      <c r="BJ23" s="45">
        <f t="shared" si="44"/>
        <v>0.10731709395383104</v>
      </c>
      <c r="BK23" s="45">
        <f t="shared" si="45"/>
        <v>0.12021860531546985</v>
      </c>
      <c r="BL23" s="45">
        <f t="shared" si="46"/>
        <v>-2.1184434825408114</v>
      </c>
      <c r="BM23" s="45">
        <f t="shared" si="7"/>
        <v>42368.869650816225</v>
      </c>
      <c r="BN23" s="45">
        <f t="shared" si="8"/>
        <v>400000000</v>
      </c>
      <c r="BO23" s="45">
        <f t="shared" si="47"/>
        <v>4.487802788719641</v>
      </c>
      <c r="BP23" s="45"/>
      <c r="BQ23" s="45"/>
      <c r="BR23" s="50" t="str">
        <f>IF(B94="","",F23)</f>
        <v/>
      </c>
      <c r="BS23" s="50" t="str">
        <f>IF(B94="","",BJ23)</f>
        <v/>
      </c>
      <c r="BT23" s="50" t="str">
        <f t="shared" si="48"/>
        <v/>
      </c>
      <c r="BU23" s="50" t="str">
        <f t="shared" si="49"/>
        <v/>
      </c>
      <c r="BV23" s="50" t="str">
        <f t="shared" si="9"/>
        <v/>
      </c>
      <c r="BW23" s="50" t="str">
        <f t="shared" si="10"/>
        <v/>
      </c>
      <c r="BX23" s="50" t="str">
        <f t="shared" si="50"/>
        <v/>
      </c>
      <c r="BY23" s="45"/>
      <c r="BZ23" s="43"/>
      <c r="CA23" s="72"/>
      <c r="CB23" s="72"/>
      <c r="CC23" s="72"/>
      <c r="CD23" s="72"/>
      <c r="CE23" s="72"/>
      <c r="CF23" s="72"/>
      <c r="CG23" s="72"/>
      <c r="CH23" s="72"/>
      <c r="CI23" s="72"/>
      <c r="CJ23" s="72"/>
      <c r="CK23" s="70"/>
      <c r="CL23" s="70"/>
    </row>
    <row r="24" spans="1:90" x14ac:dyDescent="0.3">
      <c r="A24" s="48">
        <f>'EINGABEN EINZELWERTE'!A21</f>
        <v>0</v>
      </c>
      <c r="B24" s="50" t="str">
        <f t="shared" si="52"/>
        <v/>
      </c>
      <c r="C24" s="51">
        <f>IF((B24=""),MAX(B9:B108),B24)</f>
        <v>20000</v>
      </c>
      <c r="D24" s="50">
        <f>SMALL(C9:C108,16)</f>
        <v>20000</v>
      </c>
      <c r="E24" s="50">
        <f>LARGE(C9:C108,16)</f>
        <v>20000</v>
      </c>
      <c r="F24" s="52">
        <f>IF(Q6=1,D24,-E24)</f>
        <v>-20000</v>
      </c>
      <c r="G24" s="52">
        <f t="shared" si="0"/>
        <v>0.11251763361691523</v>
      </c>
      <c r="H24" s="52">
        <f t="shared" si="11"/>
        <v>0.10731709395383104</v>
      </c>
      <c r="I24" s="45"/>
      <c r="J24" s="45">
        <f>IF(Q6=1,D24,D24)</f>
        <v>20000</v>
      </c>
      <c r="K24" s="45">
        <f t="shared" si="12"/>
        <v>0.88748236638308475</v>
      </c>
      <c r="L24" s="45">
        <f t="shared" si="13"/>
        <v>0.89268290604616896</v>
      </c>
      <c r="M24" s="45">
        <f t="shared" si="1"/>
        <v>0.69871771847211805</v>
      </c>
      <c r="N24" s="48"/>
      <c r="O24" s="68"/>
      <c r="P24" s="67"/>
      <c r="Q24" s="68"/>
      <c r="R24" s="68"/>
      <c r="S24" s="45">
        <f t="shared" si="2"/>
        <v>1</v>
      </c>
      <c r="T24" s="45">
        <f t="shared" si="3"/>
        <v>1</v>
      </c>
      <c r="U24" s="48">
        <f t="shared" si="14"/>
        <v>1.0000000822403709E-9</v>
      </c>
      <c r="V24" s="48">
        <f t="shared" si="15"/>
        <v>1.0000000822403709E-9</v>
      </c>
      <c r="W24" s="45">
        <f t="shared" si="16"/>
        <v>1.0000001644807486E-18</v>
      </c>
      <c r="X24" s="45">
        <f t="shared" si="17"/>
        <v>1.0000001644807486E-18</v>
      </c>
      <c r="Y24" s="45">
        <f t="shared" si="18"/>
        <v>1.0000001644807486E-18</v>
      </c>
      <c r="Z24" s="45"/>
      <c r="AA24" s="45">
        <f t="shared" si="4"/>
        <v>1</v>
      </c>
      <c r="AB24" s="45">
        <f t="shared" si="19"/>
        <v>1</v>
      </c>
      <c r="AC24" s="45">
        <f t="shared" si="20"/>
        <v>1.0000000822403709E-9</v>
      </c>
      <c r="AD24" s="45">
        <f t="shared" si="21"/>
        <v>1.0000000822403709E-9</v>
      </c>
      <c r="AE24" s="45">
        <f t="shared" si="22"/>
        <v>1.0000001644807486E-18</v>
      </c>
      <c r="AF24" s="45">
        <f t="shared" si="23"/>
        <v>1.0000001644807486E-18</v>
      </c>
      <c r="AG24" s="45">
        <f t="shared" si="24"/>
        <v>1.0000001644807486E-18</v>
      </c>
      <c r="AH24" s="45"/>
      <c r="AI24" s="45">
        <f t="shared" si="25"/>
        <v>1</v>
      </c>
      <c r="AJ24" s="45">
        <f t="shared" si="26"/>
        <v>1</v>
      </c>
      <c r="AK24" s="45">
        <f t="shared" si="27"/>
        <v>1.0000000822403709E-9</v>
      </c>
      <c r="AL24" s="45">
        <f t="shared" si="28"/>
        <v>1.0000000822403709E-9</v>
      </c>
      <c r="AM24" s="45">
        <f t="shared" si="29"/>
        <v>1.0000001644807486E-18</v>
      </c>
      <c r="AN24" s="45">
        <f t="shared" si="30"/>
        <v>1.0000001644807486E-18</v>
      </c>
      <c r="AO24" s="45">
        <f t="shared" si="31"/>
        <v>1.0000001644807486E-18</v>
      </c>
      <c r="AP24" s="45"/>
      <c r="AQ24" s="45">
        <f t="shared" si="32"/>
        <v>1</v>
      </c>
      <c r="AR24" s="45">
        <f t="shared" si="33"/>
        <v>1</v>
      </c>
      <c r="AS24" s="45">
        <f t="shared" si="34"/>
        <v>1.0000000822403709E-9</v>
      </c>
      <c r="AT24" s="45">
        <f t="shared" si="35"/>
        <v>1.0000000822403709E-9</v>
      </c>
      <c r="AU24" s="45">
        <f t="shared" si="36"/>
        <v>1.0000001644807486E-18</v>
      </c>
      <c r="AV24" s="45">
        <f t="shared" si="37"/>
        <v>1.0000001644807486E-18</v>
      </c>
      <c r="AW24" s="45">
        <f t="shared" si="38"/>
        <v>1.0000001644807486E-18</v>
      </c>
      <c r="AX24" s="45"/>
      <c r="AY24" s="45"/>
      <c r="AZ24" s="45"/>
      <c r="BA24" s="45" t="str">
        <f t="shared" si="39"/>
        <v/>
      </c>
      <c r="BB24" s="45" t="str">
        <f t="shared" si="40"/>
        <v/>
      </c>
      <c r="BC24" s="45" t="str">
        <f t="shared" si="41"/>
        <v/>
      </c>
      <c r="BD24" s="45" t="str">
        <f t="shared" si="42"/>
        <v/>
      </c>
      <c r="BE24" s="45" t="str">
        <f t="shared" si="5"/>
        <v/>
      </c>
      <c r="BF24" s="45" t="str">
        <f t="shared" si="6"/>
        <v/>
      </c>
      <c r="BG24" s="45" t="str">
        <f t="shared" si="43"/>
        <v/>
      </c>
      <c r="BH24" s="45"/>
      <c r="BI24" s="45">
        <f t="shared" si="51"/>
        <v>-20000</v>
      </c>
      <c r="BJ24" s="45">
        <f t="shared" si="44"/>
        <v>0.10731709395383104</v>
      </c>
      <c r="BK24" s="45">
        <f t="shared" si="45"/>
        <v>0.12021860531546985</v>
      </c>
      <c r="BL24" s="45">
        <f t="shared" si="46"/>
        <v>-2.1184434825408114</v>
      </c>
      <c r="BM24" s="45">
        <f t="shared" si="7"/>
        <v>42368.869650816225</v>
      </c>
      <c r="BN24" s="45">
        <f t="shared" si="8"/>
        <v>400000000</v>
      </c>
      <c r="BO24" s="45">
        <f t="shared" si="47"/>
        <v>4.487802788719641</v>
      </c>
      <c r="BP24" s="45"/>
      <c r="BQ24" s="45"/>
      <c r="BR24" s="50" t="str">
        <f>IF(B93="","",F24)</f>
        <v/>
      </c>
      <c r="BS24" s="50" t="str">
        <f>IF(B93="","",BJ24)</f>
        <v/>
      </c>
      <c r="BT24" s="50" t="str">
        <f t="shared" si="48"/>
        <v/>
      </c>
      <c r="BU24" s="50" t="str">
        <f t="shared" si="49"/>
        <v/>
      </c>
      <c r="BV24" s="50" t="str">
        <f t="shared" si="9"/>
        <v/>
      </c>
      <c r="BW24" s="50" t="str">
        <f t="shared" si="10"/>
        <v/>
      </c>
      <c r="BX24" s="50" t="str">
        <f t="shared" si="50"/>
        <v/>
      </c>
      <c r="BY24" s="45"/>
      <c r="BZ24" s="43"/>
      <c r="CA24" s="72"/>
      <c r="CB24" s="72"/>
      <c r="CC24" s="72"/>
      <c r="CD24" s="72"/>
      <c r="CE24" s="72"/>
      <c r="CF24" s="72"/>
      <c r="CG24" s="72"/>
      <c r="CH24" s="72"/>
      <c r="CI24" s="72"/>
      <c r="CJ24" s="72"/>
      <c r="CK24" s="70"/>
      <c r="CL24" s="70"/>
    </row>
    <row r="25" spans="1:90" x14ac:dyDescent="0.3">
      <c r="A25" s="48">
        <f>'EINGABEN EINZELWERTE'!A22</f>
        <v>0</v>
      </c>
      <c r="B25" s="50" t="str">
        <f t="shared" si="52"/>
        <v/>
      </c>
      <c r="C25" s="51">
        <f>IF((B25=""),MAX(B9:B108),B25)</f>
        <v>20000</v>
      </c>
      <c r="D25" s="50">
        <f>SMALL(C9:C108,17)</f>
        <v>20000</v>
      </c>
      <c r="E25" s="50">
        <f>LARGE(C9:C108,17)</f>
        <v>20000</v>
      </c>
      <c r="F25" s="52">
        <f>IF(Q6=1,D25,-E25)</f>
        <v>-20000</v>
      </c>
      <c r="G25" s="52">
        <f t="shared" si="0"/>
        <v>0.11251763361691523</v>
      </c>
      <c r="H25" s="52">
        <f t="shared" si="11"/>
        <v>0.10731709395383104</v>
      </c>
      <c r="I25" s="45"/>
      <c r="J25" s="45">
        <f>IF(Q6=1,D25,D25)</f>
        <v>20000</v>
      </c>
      <c r="K25" s="45">
        <f t="shared" si="12"/>
        <v>0.88748236638308475</v>
      </c>
      <c r="L25" s="45">
        <f t="shared" si="13"/>
        <v>0.89268290604616896</v>
      </c>
      <c r="M25" s="45">
        <f t="shared" si="1"/>
        <v>0.69871771847211805</v>
      </c>
      <c r="N25" s="48"/>
      <c r="O25" s="68"/>
      <c r="P25" s="67"/>
      <c r="Q25" s="68"/>
      <c r="R25" s="68"/>
      <c r="S25" s="45">
        <f t="shared" si="2"/>
        <v>1</v>
      </c>
      <c r="T25" s="45">
        <f t="shared" si="3"/>
        <v>1</v>
      </c>
      <c r="U25" s="48">
        <f t="shared" si="14"/>
        <v>1.0000000822403709E-9</v>
      </c>
      <c r="V25" s="48">
        <f t="shared" si="15"/>
        <v>1.0000000822403709E-9</v>
      </c>
      <c r="W25" s="45">
        <f t="shared" si="16"/>
        <v>1.0000001644807486E-18</v>
      </c>
      <c r="X25" s="45">
        <f t="shared" si="17"/>
        <v>1.0000001644807486E-18</v>
      </c>
      <c r="Y25" s="45">
        <f t="shared" si="18"/>
        <v>1.0000001644807486E-18</v>
      </c>
      <c r="Z25" s="45"/>
      <c r="AA25" s="45">
        <f t="shared" si="4"/>
        <v>1</v>
      </c>
      <c r="AB25" s="45">
        <f t="shared" si="19"/>
        <v>1</v>
      </c>
      <c r="AC25" s="45">
        <f t="shared" si="20"/>
        <v>1.0000000822403709E-9</v>
      </c>
      <c r="AD25" s="45">
        <f t="shared" si="21"/>
        <v>1.0000000822403709E-9</v>
      </c>
      <c r="AE25" s="45">
        <f t="shared" si="22"/>
        <v>1.0000001644807486E-18</v>
      </c>
      <c r="AF25" s="45">
        <f t="shared" si="23"/>
        <v>1.0000001644807486E-18</v>
      </c>
      <c r="AG25" s="45">
        <f t="shared" si="24"/>
        <v>1.0000001644807486E-18</v>
      </c>
      <c r="AH25" s="45"/>
      <c r="AI25" s="45">
        <f t="shared" si="25"/>
        <v>1</v>
      </c>
      <c r="AJ25" s="45">
        <f t="shared" si="26"/>
        <v>1</v>
      </c>
      <c r="AK25" s="45">
        <f t="shared" si="27"/>
        <v>1.0000000822403709E-9</v>
      </c>
      <c r="AL25" s="45">
        <f t="shared" si="28"/>
        <v>1.0000000822403709E-9</v>
      </c>
      <c r="AM25" s="45">
        <f t="shared" si="29"/>
        <v>1.0000001644807486E-18</v>
      </c>
      <c r="AN25" s="45">
        <f t="shared" si="30"/>
        <v>1.0000001644807486E-18</v>
      </c>
      <c r="AO25" s="45">
        <f t="shared" si="31"/>
        <v>1.0000001644807486E-18</v>
      </c>
      <c r="AP25" s="45"/>
      <c r="AQ25" s="45">
        <f t="shared" si="32"/>
        <v>1</v>
      </c>
      <c r="AR25" s="45">
        <f t="shared" si="33"/>
        <v>1</v>
      </c>
      <c r="AS25" s="45">
        <f t="shared" si="34"/>
        <v>1.0000000822403709E-9</v>
      </c>
      <c r="AT25" s="45">
        <f t="shared" si="35"/>
        <v>1.0000000822403709E-9</v>
      </c>
      <c r="AU25" s="45">
        <f t="shared" si="36"/>
        <v>1.0000001644807486E-18</v>
      </c>
      <c r="AV25" s="45">
        <f t="shared" si="37"/>
        <v>1.0000001644807486E-18</v>
      </c>
      <c r="AW25" s="45">
        <f t="shared" si="38"/>
        <v>1.0000001644807486E-18</v>
      </c>
      <c r="AX25" s="45"/>
      <c r="AY25" s="45"/>
      <c r="AZ25" s="45"/>
      <c r="BA25" s="45" t="str">
        <f t="shared" si="39"/>
        <v/>
      </c>
      <c r="BB25" s="45" t="str">
        <f t="shared" si="40"/>
        <v/>
      </c>
      <c r="BC25" s="45" t="str">
        <f t="shared" si="41"/>
        <v/>
      </c>
      <c r="BD25" s="45" t="str">
        <f t="shared" si="42"/>
        <v/>
      </c>
      <c r="BE25" s="45" t="str">
        <f t="shared" si="5"/>
        <v/>
      </c>
      <c r="BF25" s="45" t="str">
        <f t="shared" si="6"/>
        <v/>
      </c>
      <c r="BG25" s="45" t="str">
        <f t="shared" si="43"/>
        <v/>
      </c>
      <c r="BH25" s="45"/>
      <c r="BI25" s="45">
        <f t="shared" si="51"/>
        <v>-20000</v>
      </c>
      <c r="BJ25" s="45">
        <f t="shared" si="44"/>
        <v>0.10731709395383104</v>
      </c>
      <c r="BK25" s="45">
        <f t="shared" si="45"/>
        <v>0.12021860531546985</v>
      </c>
      <c r="BL25" s="45">
        <f t="shared" si="46"/>
        <v>-2.1184434825408114</v>
      </c>
      <c r="BM25" s="45">
        <f t="shared" si="7"/>
        <v>42368.869650816225</v>
      </c>
      <c r="BN25" s="45">
        <f t="shared" si="8"/>
        <v>400000000</v>
      </c>
      <c r="BO25" s="45">
        <f t="shared" si="47"/>
        <v>4.487802788719641</v>
      </c>
      <c r="BP25" s="45"/>
      <c r="BQ25" s="45"/>
      <c r="BR25" s="50" t="str">
        <f>IF(B92="","",F25)</f>
        <v/>
      </c>
      <c r="BS25" s="50" t="str">
        <f>IF(B92="","",BJ25)</f>
        <v/>
      </c>
      <c r="BT25" s="50" t="str">
        <f t="shared" si="48"/>
        <v/>
      </c>
      <c r="BU25" s="50" t="str">
        <f t="shared" si="49"/>
        <v/>
      </c>
      <c r="BV25" s="50" t="str">
        <f t="shared" si="9"/>
        <v/>
      </c>
      <c r="BW25" s="50" t="str">
        <f t="shared" si="10"/>
        <v/>
      </c>
      <c r="BX25" s="50" t="str">
        <f t="shared" si="50"/>
        <v/>
      </c>
      <c r="BY25" s="45"/>
      <c r="BZ25" s="43"/>
      <c r="CA25" s="72"/>
      <c r="CB25" s="72"/>
      <c r="CC25" s="72"/>
      <c r="CD25" s="72"/>
      <c r="CE25" s="72"/>
      <c r="CF25" s="72"/>
      <c r="CG25" s="72"/>
      <c r="CH25" s="72"/>
      <c r="CI25" s="72"/>
      <c r="CJ25" s="72"/>
      <c r="CK25" s="70"/>
      <c r="CL25" s="70"/>
    </row>
    <row r="26" spans="1:90" x14ac:dyDescent="0.3">
      <c r="A26" s="48">
        <f>'EINGABEN EINZELWERTE'!A23</f>
        <v>0</v>
      </c>
      <c r="B26" s="45" t="str">
        <f t="shared" si="52"/>
        <v/>
      </c>
      <c r="C26" s="48">
        <f>IF((B26=""),MAX(B9:B108),B26)</f>
        <v>20000</v>
      </c>
      <c r="D26" s="45">
        <f>SMALL(C9:C108,18)</f>
        <v>20000</v>
      </c>
      <c r="E26" s="45">
        <f>LARGE(C9:C108,18)</f>
        <v>20000</v>
      </c>
      <c r="F26" s="49">
        <f>IF(Q6=1,D26,-E26)</f>
        <v>-20000</v>
      </c>
      <c r="G26" s="49">
        <f t="shared" si="0"/>
        <v>0.11251763361691523</v>
      </c>
      <c r="H26" s="49">
        <f t="shared" si="11"/>
        <v>0.10731709395383104</v>
      </c>
      <c r="I26" s="45"/>
      <c r="J26" s="45">
        <f>IF(Q6=1,D26,D26)</f>
        <v>20000</v>
      </c>
      <c r="K26" s="45">
        <f t="shared" si="12"/>
        <v>0.88748236638308475</v>
      </c>
      <c r="L26" s="45">
        <f t="shared" si="13"/>
        <v>0.89268290604616896</v>
      </c>
      <c r="M26" s="45">
        <f t="shared" si="1"/>
        <v>0.69871771847211805</v>
      </c>
      <c r="N26" s="48"/>
      <c r="O26" s="68"/>
      <c r="P26" s="67"/>
      <c r="Q26" s="68"/>
      <c r="R26" s="68"/>
      <c r="S26" s="45">
        <f t="shared" si="2"/>
        <v>1</v>
      </c>
      <c r="T26" s="45">
        <f t="shared" si="3"/>
        <v>1</v>
      </c>
      <c r="U26" s="51">
        <f t="shared" si="14"/>
        <v>1.0000000822403709E-9</v>
      </c>
      <c r="V26" s="51">
        <f t="shared" si="15"/>
        <v>1.0000000822403709E-9</v>
      </c>
      <c r="W26" s="50">
        <f t="shared" si="16"/>
        <v>1.0000001644807486E-18</v>
      </c>
      <c r="X26" s="50">
        <f t="shared" si="17"/>
        <v>1.0000001644807486E-18</v>
      </c>
      <c r="Y26" s="50">
        <f t="shared" si="18"/>
        <v>1.0000001644807486E-18</v>
      </c>
      <c r="Z26" s="50"/>
      <c r="AA26" s="50">
        <f t="shared" si="4"/>
        <v>1</v>
      </c>
      <c r="AB26" s="50">
        <f t="shared" si="19"/>
        <v>1</v>
      </c>
      <c r="AC26" s="50">
        <f t="shared" si="20"/>
        <v>1.0000000822403709E-9</v>
      </c>
      <c r="AD26" s="45">
        <f t="shared" si="21"/>
        <v>1.0000000822403709E-9</v>
      </c>
      <c r="AE26" s="45">
        <f t="shared" si="22"/>
        <v>1.0000001644807486E-18</v>
      </c>
      <c r="AF26" s="45">
        <f t="shared" si="23"/>
        <v>1.0000001644807486E-18</v>
      </c>
      <c r="AG26" s="45">
        <f t="shared" si="24"/>
        <v>1.0000001644807486E-18</v>
      </c>
      <c r="AH26" s="45"/>
      <c r="AI26" s="45">
        <f t="shared" si="25"/>
        <v>1</v>
      </c>
      <c r="AJ26" s="45">
        <f t="shared" si="26"/>
        <v>1</v>
      </c>
      <c r="AK26" s="45">
        <f t="shared" si="27"/>
        <v>1.0000000822403709E-9</v>
      </c>
      <c r="AL26" s="45">
        <f t="shared" si="28"/>
        <v>1.0000000822403709E-9</v>
      </c>
      <c r="AM26" s="45">
        <f t="shared" si="29"/>
        <v>1.0000001644807486E-18</v>
      </c>
      <c r="AN26" s="45">
        <f t="shared" si="30"/>
        <v>1.0000001644807486E-18</v>
      </c>
      <c r="AO26" s="45">
        <f t="shared" si="31"/>
        <v>1.0000001644807486E-18</v>
      </c>
      <c r="AP26" s="45"/>
      <c r="AQ26" s="45">
        <f t="shared" si="32"/>
        <v>1</v>
      </c>
      <c r="AR26" s="45">
        <f t="shared" si="33"/>
        <v>1</v>
      </c>
      <c r="AS26" s="45">
        <f t="shared" si="34"/>
        <v>1.0000000822403709E-9</v>
      </c>
      <c r="AT26" s="45">
        <f t="shared" si="35"/>
        <v>1.0000000822403709E-9</v>
      </c>
      <c r="AU26" s="45">
        <f t="shared" si="36"/>
        <v>1.0000001644807486E-18</v>
      </c>
      <c r="AV26" s="45">
        <f t="shared" si="37"/>
        <v>1.0000001644807486E-18</v>
      </c>
      <c r="AW26" s="45">
        <f t="shared" si="38"/>
        <v>1.0000001644807486E-18</v>
      </c>
      <c r="AX26" s="45"/>
      <c r="AY26" s="45"/>
      <c r="AZ26" s="45"/>
      <c r="BA26" s="45" t="str">
        <f t="shared" si="39"/>
        <v/>
      </c>
      <c r="BB26" s="45" t="str">
        <f t="shared" si="40"/>
        <v/>
      </c>
      <c r="BC26" s="45" t="str">
        <f t="shared" si="41"/>
        <v/>
      </c>
      <c r="BD26" s="45" t="str">
        <f t="shared" si="42"/>
        <v/>
      </c>
      <c r="BE26" s="45" t="str">
        <f t="shared" si="5"/>
        <v/>
      </c>
      <c r="BF26" s="45" t="str">
        <f t="shared" si="6"/>
        <v/>
      </c>
      <c r="BG26" s="45" t="str">
        <f t="shared" si="43"/>
        <v/>
      </c>
      <c r="BH26" s="45"/>
      <c r="BI26" s="45">
        <f t="shared" si="51"/>
        <v>-20000</v>
      </c>
      <c r="BJ26" s="45">
        <f t="shared" si="44"/>
        <v>0.10731709395383104</v>
      </c>
      <c r="BK26" s="45">
        <f t="shared" si="45"/>
        <v>0.12021860531546985</v>
      </c>
      <c r="BL26" s="45">
        <f t="shared" si="46"/>
        <v>-2.1184434825408114</v>
      </c>
      <c r="BM26" s="45">
        <f t="shared" si="7"/>
        <v>42368.869650816225</v>
      </c>
      <c r="BN26" s="45">
        <f t="shared" si="8"/>
        <v>400000000</v>
      </c>
      <c r="BO26" s="45">
        <f t="shared" si="47"/>
        <v>4.487802788719641</v>
      </c>
      <c r="BP26" s="45"/>
      <c r="BQ26" s="45"/>
      <c r="BR26" s="50" t="str">
        <f>IF(B91="","",F26)</f>
        <v/>
      </c>
      <c r="BS26" s="50" t="str">
        <f>IF(B91="","",BJ26)</f>
        <v/>
      </c>
      <c r="BT26" s="50" t="str">
        <f t="shared" si="48"/>
        <v/>
      </c>
      <c r="BU26" s="50" t="str">
        <f t="shared" si="49"/>
        <v/>
      </c>
      <c r="BV26" s="50" t="str">
        <f t="shared" si="9"/>
        <v/>
      </c>
      <c r="BW26" s="50" t="str">
        <f t="shared" si="10"/>
        <v/>
      </c>
      <c r="BX26" s="50" t="str">
        <f t="shared" si="50"/>
        <v/>
      </c>
      <c r="BY26" s="45"/>
      <c r="BZ26" s="43"/>
      <c r="CA26" s="72"/>
      <c r="CB26" s="72"/>
      <c r="CC26" s="72"/>
      <c r="CD26" s="72"/>
      <c r="CE26" s="72"/>
      <c r="CF26" s="72"/>
      <c r="CG26" s="72"/>
      <c r="CH26" s="72"/>
      <c r="CI26" s="72"/>
      <c r="CJ26" s="72"/>
      <c r="CK26" s="70"/>
      <c r="CL26" s="70"/>
    </row>
    <row r="27" spans="1:90" x14ac:dyDescent="0.3">
      <c r="A27" s="48">
        <f>'EINGABEN EINZELWERTE'!A24</f>
        <v>0</v>
      </c>
      <c r="B27" s="45" t="str">
        <f t="shared" si="52"/>
        <v/>
      </c>
      <c r="C27" s="48">
        <f>IF((B27=""),MAX(B9:B108),B27)</f>
        <v>20000</v>
      </c>
      <c r="D27" s="45">
        <f>SMALL(C9:C108,19)</f>
        <v>20000</v>
      </c>
      <c r="E27" s="45">
        <f>LARGE(C9:C108,19)</f>
        <v>20000</v>
      </c>
      <c r="F27" s="49">
        <f>IF(Q6=1,D27,-E27)</f>
        <v>-20000</v>
      </c>
      <c r="G27" s="49">
        <f t="shared" si="0"/>
        <v>0.11251763361691523</v>
      </c>
      <c r="H27" s="49">
        <f t="shared" si="11"/>
        <v>0.10731709395383104</v>
      </c>
      <c r="I27" s="45"/>
      <c r="J27" s="45">
        <f>IF(Q6=1,D27,D27)</f>
        <v>20000</v>
      </c>
      <c r="K27" s="45">
        <f t="shared" si="12"/>
        <v>0.88748236638308475</v>
      </c>
      <c r="L27" s="45">
        <f t="shared" si="13"/>
        <v>0.89268290604616896</v>
      </c>
      <c r="M27" s="45">
        <f t="shared" si="1"/>
        <v>0.69871771847211805</v>
      </c>
      <c r="N27" s="48"/>
      <c r="O27" s="68"/>
      <c r="P27" s="67"/>
      <c r="Q27" s="68"/>
      <c r="R27" s="68"/>
      <c r="S27" s="45">
        <f t="shared" si="2"/>
        <v>1</v>
      </c>
      <c r="T27" s="45">
        <f t="shared" si="3"/>
        <v>1</v>
      </c>
      <c r="U27" s="51">
        <f t="shared" si="14"/>
        <v>1.0000000822403709E-9</v>
      </c>
      <c r="V27" s="51">
        <f t="shared" si="15"/>
        <v>1.0000000822403709E-9</v>
      </c>
      <c r="W27" s="50">
        <f t="shared" si="16"/>
        <v>1.0000001644807486E-18</v>
      </c>
      <c r="X27" s="50">
        <f t="shared" si="17"/>
        <v>1.0000001644807486E-18</v>
      </c>
      <c r="Y27" s="50">
        <f t="shared" si="18"/>
        <v>1.0000001644807486E-18</v>
      </c>
      <c r="Z27" s="50"/>
      <c r="AA27" s="50">
        <f t="shared" si="4"/>
        <v>1</v>
      </c>
      <c r="AB27" s="50">
        <f t="shared" si="19"/>
        <v>1</v>
      </c>
      <c r="AC27" s="50">
        <f t="shared" si="20"/>
        <v>1.0000000822403709E-9</v>
      </c>
      <c r="AD27" s="45">
        <f t="shared" si="21"/>
        <v>1.0000000822403709E-9</v>
      </c>
      <c r="AE27" s="45">
        <f t="shared" si="22"/>
        <v>1.0000001644807486E-18</v>
      </c>
      <c r="AF27" s="45">
        <f t="shared" si="23"/>
        <v>1.0000001644807486E-18</v>
      </c>
      <c r="AG27" s="45">
        <f t="shared" si="24"/>
        <v>1.0000001644807486E-18</v>
      </c>
      <c r="AH27" s="45"/>
      <c r="AI27" s="45">
        <f t="shared" si="25"/>
        <v>1</v>
      </c>
      <c r="AJ27" s="45">
        <f t="shared" si="26"/>
        <v>1</v>
      </c>
      <c r="AK27" s="45">
        <f t="shared" si="27"/>
        <v>1.0000000822403709E-9</v>
      </c>
      <c r="AL27" s="45">
        <f t="shared" si="28"/>
        <v>1.0000000822403709E-9</v>
      </c>
      <c r="AM27" s="45">
        <f t="shared" si="29"/>
        <v>1.0000001644807486E-18</v>
      </c>
      <c r="AN27" s="45">
        <f t="shared" si="30"/>
        <v>1.0000001644807486E-18</v>
      </c>
      <c r="AO27" s="45">
        <f t="shared" si="31"/>
        <v>1.0000001644807486E-18</v>
      </c>
      <c r="AP27" s="45"/>
      <c r="AQ27" s="45">
        <f t="shared" si="32"/>
        <v>1</v>
      </c>
      <c r="AR27" s="45">
        <f t="shared" si="33"/>
        <v>1</v>
      </c>
      <c r="AS27" s="45">
        <f t="shared" si="34"/>
        <v>1.0000000822403709E-9</v>
      </c>
      <c r="AT27" s="45">
        <f t="shared" si="35"/>
        <v>1.0000000822403709E-9</v>
      </c>
      <c r="AU27" s="45">
        <f t="shared" si="36"/>
        <v>1.0000001644807486E-18</v>
      </c>
      <c r="AV27" s="45">
        <f t="shared" si="37"/>
        <v>1.0000001644807486E-18</v>
      </c>
      <c r="AW27" s="45">
        <f t="shared" si="38"/>
        <v>1.0000001644807486E-18</v>
      </c>
      <c r="AX27" s="45"/>
      <c r="AY27" s="45"/>
      <c r="AZ27" s="45"/>
      <c r="BA27" s="45" t="str">
        <f t="shared" si="39"/>
        <v/>
      </c>
      <c r="BB27" s="45" t="str">
        <f t="shared" si="40"/>
        <v/>
      </c>
      <c r="BC27" s="45" t="str">
        <f t="shared" si="41"/>
        <v/>
      </c>
      <c r="BD27" s="45" t="str">
        <f t="shared" si="42"/>
        <v/>
      </c>
      <c r="BE27" s="45" t="str">
        <f t="shared" si="5"/>
        <v/>
      </c>
      <c r="BF27" s="45" t="str">
        <f t="shared" si="6"/>
        <v/>
      </c>
      <c r="BG27" s="45" t="str">
        <f t="shared" si="43"/>
        <v/>
      </c>
      <c r="BH27" s="45"/>
      <c r="BI27" s="45">
        <f t="shared" si="51"/>
        <v>-20000</v>
      </c>
      <c r="BJ27" s="45">
        <f t="shared" si="44"/>
        <v>0.10731709395383104</v>
      </c>
      <c r="BK27" s="45">
        <f t="shared" si="45"/>
        <v>0.12021860531546985</v>
      </c>
      <c r="BL27" s="45">
        <f t="shared" si="46"/>
        <v>-2.1184434825408114</v>
      </c>
      <c r="BM27" s="45">
        <f t="shared" si="7"/>
        <v>42368.869650816225</v>
      </c>
      <c r="BN27" s="45">
        <f t="shared" si="8"/>
        <v>400000000</v>
      </c>
      <c r="BO27" s="45">
        <f t="shared" si="47"/>
        <v>4.487802788719641</v>
      </c>
      <c r="BP27" s="45"/>
      <c r="BQ27" s="45"/>
      <c r="BR27" s="50" t="str">
        <f>IF(B90="","",F27)</f>
        <v/>
      </c>
      <c r="BS27" s="50" t="str">
        <f>IF(B90="","",BJ27)</f>
        <v/>
      </c>
      <c r="BT27" s="50" t="str">
        <f t="shared" si="48"/>
        <v/>
      </c>
      <c r="BU27" s="50" t="str">
        <f t="shared" si="49"/>
        <v/>
      </c>
      <c r="BV27" s="50" t="str">
        <f t="shared" si="9"/>
        <v/>
      </c>
      <c r="BW27" s="50" t="str">
        <f t="shared" si="10"/>
        <v/>
      </c>
      <c r="BX27" s="50" t="str">
        <f t="shared" si="50"/>
        <v/>
      </c>
      <c r="BY27" s="45"/>
      <c r="BZ27" s="43"/>
      <c r="CA27" s="72"/>
      <c r="CB27" s="72"/>
      <c r="CC27" s="72"/>
      <c r="CD27" s="72"/>
      <c r="CE27" s="72"/>
      <c r="CF27" s="72"/>
      <c r="CG27" s="72"/>
      <c r="CH27" s="72"/>
      <c r="CI27" s="72"/>
      <c r="CJ27" s="72"/>
      <c r="CK27" s="70"/>
      <c r="CL27" s="70"/>
    </row>
    <row r="28" spans="1:90" x14ac:dyDescent="0.3">
      <c r="A28" s="48">
        <f>'EINGABEN EINZELWERTE'!A25</f>
        <v>0</v>
      </c>
      <c r="B28" s="45" t="str">
        <f t="shared" si="52"/>
        <v/>
      </c>
      <c r="C28" s="48">
        <f>IF((B28=""),MAX(B9:B108),B28)</f>
        <v>20000</v>
      </c>
      <c r="D28" s="45">
        <f>SMALL(C9:C108,20)</f>
        <v>20000</v>
      </c>
      <c r="E28" s="45">
        <f>LARGE(C9:C108,20)</f>
        <v>20000</v>
      </c>
      <c r="F28" s="49">
        <f>IF(Q6=1,D28,-E28)</f>
        <v>-20000</v>
      </c>
      <c r="G28" s="49">
        <f t="shared" si="0"/>
        <v>0.11251763361691523</v>
      </c>
      <c r="H28" s="49">
        <f t="shared" si="11"/>
        <v>0.10731709395383104</v>
      </c>
      <c r="I28" s="45"/>
      <c r="J28" s="45">
        <f>IF(Q6=1,D28,D28)</f>
        <v>20000</v>
      </c>
      <c r="K28" s="45">
        <f t="shared" si="12"/>
        <v>0.88748236638308475</v>
      </c>
      <c r="L28" s="45">
        <f t="shared" si="13"/>
        <v>0.89268290604616896</v>
      </c>
      <c r="M28" s="45">
        <f t="shared" si="1"/>
        <v>0.69871771847211805</v>
      </c>
      <c r="N28" s="48"/>
      <c r="O28" s="68"/>
      <c r="P28" s="67"/>
      <c r="Q28" s="68"/>
      <c r="R28" s="68"/>
      <c r="S28" s="45">
        <f t="shared" si="2"/>
        <v>1</v>
      </c>
      <c r="T28" s="45">
        <f t="shared" si="3"/>
        <v>1</v>
      </c>
      <c r="U28" s="48">
        <f t="shared" si="14"/>
        <v>1.0000000822403709E-9</v>
      </c>
      <c r="V28" s="48">
        <f t="shared" si="15"/>
        <v>1.0000000822403709E-9</v>
      </c>
      <c r="W28" s="45">
        <f t="shared" si="16"/>
        <v>1.0000001644807486E-18</v>
      </c>
      <c r="X28" s="45">
        <f t="shared" si="17"/>
        <v>1.0000001644807486E-18</v>
      </c>
      <c r="Y28" s="45">
        <f t="shared" si="18"/>
        <v>1.0000001644807486E-18</v>
      </c>
      <c r="Z28" s="45"/>
      <c r="AA28" s="45">
        <f t="shared" si="4"/>
        <v>1</v>
      </c>
      <c r="AB28" s="45">
        <f t="shared" si="19"/>
        <v>1</v>
      </c>
      <c r="AC28" s="45">
        <f t="shared" si="20"/>
        <v>1.0000000822403709E-9</v>
      </c>
      <c r="AD28" s="45">
        <f t="shared" si="21"/>
        <v>1.0000000822403709E-9</v>
      </c>
      <c r="AE28" s="45">
        <f t="shared" si="22"/>
        <v>1.0000001644807486E-18</v>
      </c>
      <c r="AF28" s="45">
        <f t="shared" si="23"/>
        <v>1.0000001644807486E-18</v>
      </c>
      <c r="AG28" s="45">
        <f t="shared" si="24"/>
        <v>1.0000001644807486E-18</v>
      </c>
      <c r="AH28" s="45"/>
      <c r="AI28" s="45">
        <f t="shared" si="25"/>
        <v>1</v>
      </c>
      <c r="AJ28" s="45">
        <f t="shared" si="26"/>
        <v>1</v>
      </c>
      <c r="AK28" s="45">
        <f t="shared" si="27"/>
        <v>1.0000000822403709E-9</v>
      </c>
      <c r="AL28" s="45">
        <f t="shared" si="28"/>
        <v>1.0000000822403709E-9</v>
      </c>
      <c r="AM28" s="45">
        <f t="shared" si="29"/>
        <v>1.0000001644807486E-18</v>
      </c>
      <c r="AN28" s="45">
        <f t="shared" si="30"/>
        <v>1.0000001644807486E-18</v>
      </c>
      <c r="AO28" s="45">
        <f t="shared" si="31"/>
        <v>1.0000001644807486E-18</v>
      </c>
      <c r="AP28" s="45"/>
      <c r="AQ28" s="45">
        <f t="shared" si="32"/>
        <v>1</v>
      </c>
      <c r="AR28" s="45">
        <f t="shared" si="33"/>
        <v>1</v>
      </c>
      <c r="AS28" s="45">
        <f t="shared" si="34"/>
        <v>1.0000000822403709E-9</v>
      </c>
      <c r="AT28" s="45">
        <f t="shared" si="35"/>
        <v>1.0000000822403709E-9</v>
      </c>
      <c r="AU28" s="45">
        <f t="shared" si="36"/>
        <v>1.0000001644807486E-18</v>
      </c>
      <c r="AV28" s="45">
        <f t="shared" si="37"/>
        <v>1.0000001644807486E-18</v>
      </c>
      <c r="AW28" s="45">
        <f t="shared" si="38"/>
        <v>1.0000001644807486E-18</v>
      </c>
      <c r="AX28" s="45"/>
      <c r="AY28" s="45"/>
      <c r="AZ28" s="45"/>
      <c r="BA28" s="45" t="str">
        <f t="shared" si="39"/>
        <v/>
      </c>
      <c r="BB28" s="45" t="str">
        <f t="shared" si="40"/>
        <v/>
      </c>
      <c r="BC28" s="45" t="str">
        <f t="shared" si="41"/>
        <v/>
      </c>
      <c r="BD28" s="45" t="str">
        <f t="shared" si="42"/>
        <v/>
      </c>
      <c r="BE28" s="45" t="str">
        <f t="shared" si="5"/>
        <v/>
      </c>
      <c r="BF28" s="45" t="str">
        <f t="shared" si="6"/>
        <v/>
      </c>
      <c r="BG28" s="45" t="str">
        <f t="shared" si="43"/>
        <v/>
      </c>
      <c r="BH28" s="45"/>
      <c r="BI28" s="45">
        <f t="shared" si="51"/>
        <v>-20000</v>
      </c>
      <c r="BJ28" s="45">
        <f t="shared" si="44"/>
        <v>0.10731709395383104</v>
      </c>
      <c r="BK28" s="45">
        <f t="shared" si="45"/>
        <v>0.12021860531546985</v>
      </c>
      <c r="BL28" s="45">
        <f t="shared" si="46"/>
        <v>-2.1184434825408114</v>
      </c>
      <c r="BM28" s="45">
        <f t="shared" si="7"/>
        <v>42368.869650816225</v>
      </c>
      <c r="BN28" s="45">
        <f t="shared" si="8"/>
        <v>400000000</v>
      </c>
      <c r="BO28" s="45">
        <f t="shared" si="47"/>
        <v>4.487802788719641</v>
      </c>
      <c r="BP28" s="45"/>
      <c r="BQ28" s="45"/>
      <c r="BR28" s="50" t="str">
        <f>IF(B89="","",F28)</f>
        <v/>
      </c>
      <c r="BS28" s="50" t="str">
        <f>IF(B89="","",BJ28)</f>
        <v/>
      </c>
      <c r="BT28" s="50" t="str">
        <f t="shared" si="48"/>
        <v/>
      </c>
      <c r="BU28" s="50" t="str">
        <f t="shared" si="49"/>
        <v/>
      </c>
      <c r="BV28" s="50" t="str">
        <f t="shared" si="9"/>
        <v/>
      </c>
      <c r="BW28" s="50" t="str">
        <f t="shared" si="10"/>
        <v/>
      </c>
      <c r="BX28" s="50" t="str">
        <f t="shared" si="50"/>
        <v/>
      </c>
      <c r="BY28" s="45"/>
      <c r="BZ28" s="43"/>
      <c r="CA28" s="72"/>
      <c r="CB28" s="72"/>
      <c r="CC28" s="72"/>
      <c r="CD28" s="72"/>
      <c r="CE28" s="72"/>
      <c r="CF28" s="72"/>
      <c r="CG28" s="72"/>
      <c r="CH28" s="72"/>
      <c r="CI28" s="72"/>
      <c r="CJ28" s="72"/>
      <c r="CK28" s="70"/>
      <c r="CL28" s="70"/>
    </row>
    <row r="29" spans="1:90" x14ac:dyDescent="0.3">
      <c r="A29" s="48">
        <f>'EINGABEN EINZELWERTE'!B6</f>
        <v>0</v>
      </c>
      <c r="B29" s="45" t="str">
        <f t="shared" si="52"/>
        <v/>
      </c>
      <c r="C29" s="48">
        <f>IF((B29=""),MAX(B9:B108),B29)</f>
        <v>20000</v>
      </c>
      <c r="D29" s="45">
        <f>SMALL(C9:C108,21)</f>
        <v>20000</v>
      </c>
      <c r="E29" s="45">
        <f>LARGE(C9:C108,21)</f>
        <v>20000</v>
      </c>
      <c r="F29" s="49">
        <f>IF(Q6=1,D29,-E29)</f>
        <v>-20000</v>
      </c>
      <c r="G29" s="49">
        <f t="shared" si="0"/>
        <v>0.11251763361691523</v>
      </c>
      <c r="H29" s="49">
        <f t="shared" si="11"/>
        <v>0.10731709395383104</v>
      </c>
      <c r="I29" s="45"/>
      <c r="J29" s="45">
        <f>IF(Q6=1,D29,D29)</f>
        <v>20000</v>
      </c>
      <c r="K29" s="45">
        <f t="shared" si="12"/>
        <v>0.88748236638308475</v>
      </c>
      <c r="L29" s="45">
        <f t="shared" si="13"/>
        <v>0.89268290604616896</v>
      </c>
      <c r="M29" s="45">
        <f t="shared" si="1"/>
        <v>0.69871771847211805</v>
      </c>
      <c r="N29" s="48"/>
      <c r="O29" s="68"/>
      <c r="P29" s="67"/>
      <c r="Q29" s="68"/>
      <c r="R29" s="68"/>
      <c r="S29" s="45">
        <f t="shared" si="2"/>
        <v>1</v>
      </c>
      <c r="T29" s="45">
        <f t="shared" si="3"/>
        <v>1</v>
      </c>
      <c r="U29" s="48">
        <f t="shared" si="14"/>
        <v>1.0000000822403709E-9</v>
      </c>
      <c r="V29" s="48">
        <f t="shared" si="15"/>
        <v>1.0000000822403709E-9</v>
      </c>
      <c r="W29" s="45">
        <f t="shared" si="16"/>
        <v>1.0000001644807486E-18</v>
      </c>
      <c r="X29" s="45">
        <f t="shared" si="17"/>
        <v>1.0000001644807486E-18</v>
      </c>
      <c r="Y29" s="45">
        <f t="shared" si="18"/>
        <v>1.0000001644807486E-18</v>
      </c>
      <c r="Z29" s="45"/>
      <c r="AA29" s="45">
        <f t="shared" si="4"/>
        <v>1</v>
      </c>
      <c r="AB29" s="45">
        <f t="shared" si="19"/>
        <v>1</v>
      </c>
      <c r="AC29" s="45">
        <f t="shared" si="20"/>
        <v>1.0000000822403709E-9</v>
      </c>
      <c r="AD29" s="45">
        <f t="shared" si="21"/>
        <v>1.0000000822403709E-9</v>
      </c>
      <c r="AE29" s="45">
        <f t="shared" si="22"/>
        <v>1.0000001644807486E-18</v>
      </c>
      <c r="AF29" s="45">
        <f t="shared" si="23"/>
        <v>1.0000001644807486E-18</v>
      </c>
      <c r="AG29" s="45">
        <f t="shared" si="24"/>
        <v>1.0000001644807486E-18</v>
      </c>
      <c r="AH29" s="45"/>
      <c r="AI29" s="45">
        <f t="shared" si="25"/>
        <v>1</v>
      </c>
      <c r="AJ29" s="45">
        <f t="shared" si="26"/>
        <v>1</v>
      </c>
      <c r="AK29" s="45">
        <f t="shared" si="27"/>
        <v>1.0000000822403709E-9</v>
      </c>
      <c r="AL29" s="45">
        <f t="shared" si="28"/>
        <v>1.0000000822403709E-9</v>
      </c>
      <c r="AM29" s="45">
        <f t="shared" si="29"/>
        <v>1.0000001644807486E-18</v>
      </c>
      <c r="AN29" s="45">
        <f t="shared" si="30"/>
        <v>1.0000001644807486E-18</v>
      </c>
      <c r="AO29" s="45">
        <f t="shared" si="31"/>
        <v>1.0000001644807486E-18</v>
      </c>
      <c r="AP29" s="45"/>
      <c r="AQ29" s="45">
        <f t="shared" si="32"/>
        <v>1</v>
      </c>
      <c r="AR29" s="45">
        <f t="shared" si="33"/>
        <v>1</v>
      </c>
      <c r="AS29" s="45">
        <f t="shared" si="34"/>
        <v>1.0000000822403709E-9</v>
      </c>
      <c r="AT29" s="45">
        <f t="shared" si="35"/>
        <v>1.0000000822403709E-9</v>
      </c>
      <c r="AU29" s="45">
        <f t="shared" si="36"/>
        <v>1.0000001644807486E-18</v>
      </c>
      <c r="AV29" s="45">
        <f t="shared" si="37"/>
        <v>1.0000001644807486E-18</v>
      </c>
      <c r="AW29" s="45">
        <f t="shared" si="38"/>
        <v>1.0000001644807486E-18</v>
      </c>
      <c r="AX29" s="45"/>
      <c r="AY29" s="45"/>
      <c r="AZ29" s="45"/>
      <c r="BA29" s="45" t="str">
        <f t="shared" si="39"/>
        <v/>
      </c>
      <c r="BB29" s="45" t="str">
        <f t="shared" si="40"/>
        <v/>
      </c>
      <c r="BC29" s="45" t="str">
        <f t="shared" si="41"/>
        <v/>
      </c>
      <c r="BD29" s="45" t="str">
        <f t="shared" si="42"/>
        <v/>
      </c>
      <c r="BE29" s="45" t="str">
        <f t="shared" si="5"/>
        <v/>
      </c>
      <c r="BF29" s="45" t="str">
        <f t="shared" si="6"/>
        <v/>
      </c>
      <c r="BG29" s="45" t="str">
        <f t="shared" si="43"/>
        <v/>
      </c>
      <c r="BH29" s="45"/>
      <c r="BI29" s="45">
        <f t="shared" si="51"/>
        <v>-20000</v>
      </c>
      <c r="BJ29" s="45">
        <f t="shared" si="44"/>
        <v>0.10731709395383104</v>
      </c>
      <c r="BK29" s="45">
        <f t="shared" si="45"/>
        <v>0.12021860531546985</v>
      </c>
      <c r="BL29" s="45">
        <f t="shared" si="46"/>
        <v>-2.1184434825408114</v>
      </c>
      <c r="BM29" s="45">
        <f t="shared" si="7"/>
        <v>42368.869650816225</v>
      </c>
      <c r="BN29" s="45">
        <f t="shared" si="8"/>
        <v>400000000</v>
      </c>
      <c r="BO29" s="45">
        <f t="shared" si="47"/>
        <v>4.487802788719641</v>
      </c>
      <c r="BP29" s="45"/>
      <c r="BQ29" s="45"/>
      <c r="BR29" s="50" t="str">
        <f>IF(B88="","",F29)</f>
        <v/>
      </c>
      <c r="BS29" s="50" t="str">
        <f>IF(B88="","",BJ29)</f>
        <v/>
      </c>
      <c r="BT29" s="50" t="str">
        <f t="shared" si="48"/>
        <v/>
      </c>
      <c r="BU29" s="50" t="str">
        <f t="shared" si="49"/>
        <v/>
      </c>
      <c r="BV29" s="50" t="str">
        <f t="shared" si="9"/>
        <v/>
      </c>
      <c r="BW29" s="50" t="str">
        <f t="shared" si="10"/>
        <v/>
      </c>
      <c r="BX29" s="50" t="str">
        <f t="shared" si="50"/>
        <v/>
      </c>
      <c r="BY29" s="45"/>
      <c r="BZ29" s="43"/>
      <c r="CA29" s="72"/>
      <c r="CB29" s="72"/>
      <c r="CC29" s="72"/>
      <c r="CD29" s="72"/>
      <c r="CE29" s="72"/>
      <c r="CF29" s="72"/>
      <c r="CG29" s="72"/>
      <c r="CH29" s="72"/>
      <c r="CI29" s="72"/>
      <c r="CJ29" s="72"/>
      <c r="CK29" s="70"/>
      <c r="CL29" s="70"/>
    </row>
    <row r="30" spans="1:90" x14ac:dyDescent="0.3">
      <c r="A30" s="48">
        <f>'EINGABEN EINZELWERTE'!B7</f>
        <v>0</v>
      </c>
      <c r="B30" s="45" t="str">
        <f t="shared" si="52"/>
        <v/>
      </c>
      <c r="C30" s="48">
        <f>IF((B30=""),MAX(B9:B108),B30)</f>
        <v>20000</v>
      </c>
      <c r="D30" s="45">
        <f>SMALL(C9:C108,22)</f>
        <v>20000</v>
      </c>
      <c r="E30" s="45">
        <f>LARGE(C9:C108,22)</f>
        <v>20000</v>
      </c>
      <c r="F30" s="49">
        <f>IF(Q6=1,D30,-E30)</f>
        <v>-20000</v>
      </c>
      <c r="G30" s="49">
        <f t="shared" si="0"/>
        <v>0.11251763361691523</v>
      </c>
      <c r="H30" s="49">
        <f t="shared" si="11"/>
        <v>0.10731709395383104</v>
      </c>
      <c r="I30" s="45"/>
      <c r="J30" s="45">
        <f>IF(Q26=1,D30,D30)</f>
        <v>20000</v>
      </c>
      <c r="K30" s="45">
        <f t="shared" si="12"/>
        <v>0.88748236638308475</v>
      </c>
      <c r="L30" s="45">
        <f t="shared" si="13"/>
        <v>0.89268290604616896</v>
      </c>
      <c r="M30" s="45">
        <f t="shared" si="1"/>
        <v>0.69871771847211805</v>
      </c>
      <c r="N30" s="48"/>
      <c r="O30" s="68"/>
      <c r="P30" s="67"/>
      <c r="Q30" s="68"/>
      <c r="R30" s="68"/>
      <c r="S30" s="45">
        <f t="shared" si="2"/>
        <v>1</v>
      </c>
      <c r="T30" s="45">
        <f t="shared" si="3"/>
        <v>1</v>
      </c>
      <c r="U30" s="48">
        <f t="shared" si="14"/>
        <v>1.0000000822403709E-9</v>
      </c>
      <c r="V30" s="48">
        <f t="shared" si="15"/>
        <v>1.0000000822403709E-9</v>
      </c>
      <c r="W30" s="45">
        <f t="shared" si="16"/>
        <v>1.0000001644807486E-18</v>
      </c>
      <c r="X30" s="45">
        <f t="shared" si="17"/>
        <v>1.0000001644807486E-18</v>
      </c>
      <c r="Y30" s="45">
        <f t="shared" si="18"/>
        <v>1.0000001644807486E-18</v>
      </c>
      <c r="Z30" s="45"/>
      <c r="AA30" s="45">
        <f t="shared" si="4"/>
        <v>1</v>
      </c>
      <c r="AB30" s="45">
        <f t="shared" si="19"/>
        <v>1</v>
      </c>
      <c r="AC30" s="45">
        <f t="shared" si="20"/>
        <v>1.0000000822403709E-9</v>
      </c>
      <c r="AD30" s="45">
        <f t="shared" si="21"/>
        <v>1.0000000822403709E-9</v>
      </c>
      <c r="AE30" s="45">
        <f t="shared" si="22"/>
        <v>1.0000001644807486E-18</v>
      </c>
      <c r="AF30" s="45">
        <f t="shared" si="23"/>
        <v>1.0000001644807486E-18</v>
      </c>
      <c r="AG30" s="45">
        <f t="shared" si="24"/>
        <v>1.0000001644807486E-18</v>
      </c>
      <c r="AH30" s="45"/>
      <c r="AI30" s="45">
        <f t="shared" si="25"/>
        <v>1</v>
      </c>
      <c r="AJ30" s="45">
        <f t="shared" si="26"/>
        <v>1</v>
      </c>
      <c r="AK30" s="45">
        <f t="shared" si="27"/>
        <v>1.0000000822403709E-9</v>
      </c>
      <c r="AL30" s="45">
        <f t="shared" si="28"/>
        <v>1.0000000822403709E-9</v>
      </c>
      <c r="AM30" s="45">
        <f t="shared" si="29"/>
        <v>1.0000001644807486E-18</v>
      </c>
      <c r="AN30" s="45">
        <f t="shared" si="30"/>
        <v>1.0000001644807486E-18</v>
      </c>
      <c r="AO30" s="45">
        <f t="shared" si="31"/>
        <v>1.0000001644807486E-18</v>
      </c>
      <c r="AP30" s="45"/>
      <c r="AQ30" s="45">
        <f t="shared" si="32"/>
        <v>1</v>
      </c>
      <c r="AR30" s="45">
        <f t="shared" si="33"/>
        <v>1</v>
      </c>
      <c r="AS30" s="45">
        <f t="shared" si="34"/>
        <v>1.0000000822403709E-9</v>
      </c>
      <c r="AT30" s="45">
        <f t="shared" si="35"/>
        <v>1.0000000822403709E-9</v>
      </c>
      <c r="AU30" s="45">
        <f t="shared" si="36"/>
        <v>1.0000001644807486E-18</v>
      </c>
      <c r="AV30" s="45">
        <f t="shared" si="37"/>
        <v>1.0000001644807486E-18</v>
      </c>
      <c r="AW30" s="45">
        <f t="shared" si="38"/>
        <v>1.0000001644807486E-18</v>
      </c>
      <c r="AX30" s="45"/>
      <c r="AY30" s="45"/>
      <c r="AZ30" s="45"/>
      <c r="BA30" s="45" t="str">
        <f t="shared" si="39"/>
        <v/>
      </c>
      <c r="BB30" s="45" t="str">
        <f t="shared" si="40"/>
        <v/>
      </c>
      <c r="BC30" s="45" t="str">
        <f t="shared" si="41"/>
        <v/>
      </c>
      <c r="BD30" s="45" t="str">
        <f t="shared" si="42"/>
        <v/>
      </c>
      <c r="BE30" s="45" t="str">
        <f t="shared" si="5"/>
        <v/>
      </c>
      <c r="BF30" s="45" t="str">
        <f t="shared" si="6"/>
        <v/>
      </c>
      <c r="BG30" s="45" t="str">
        <f t="shared" si="43"/>
        <v/>
      </c>
      <c r="BH30" s="45"/>
      <c r="BI30" s="45">
        <f t="shared" si="51"/>
        <v>-20000</v>
      </c>
      <c r="BJ30" s="45">
        <f t="shared" si="44"/>
        <v>0.10731709395383104</v>
      </c>
      <c r="BK30" s="45">
        <f t="shared" si="45"/>
        <v>0.12021860531546985</v>
      </c>
      <c r="BL30" s="45">
        <f t="shared" si="46"/>
        <v>-2.1184434825408114</v>
      </c>
      <c r="BM30" s="45">
        <f t="shared" si="7"/>
        <v>42368.869650816225</v>
      </c>
      <c r="BN30" s="45">
        <f t="shared" si="8"/>
        <v>400000000</v>
      </c>
      <c r="BO30" s="45">
        <f t="shared" si="47"/>
        <v>4.487802788719641</v>
      </c>
      <c r="BP30" s="45"/>
      <c r="BQ30" s="45"/>
      <c r="BR30" s="50" t="str">
        <f>IF(B87="","",F30)</f>
        <v/>
      </c>
      <c r="BS30" s="50" t="str">
        <f>IF(B87="","",BJ30)</f>
        <v/>
      </c>
      <c r="BT30" s="50" t="str">
        <f t="shared" si="48"/>
        <v/>
      </c>
      <c r="BU30" s="50" t="str">
        <f t="shared" si="49"/>
        <v/>
      </c>
      <c r="BV30" s="50" t="str">
        <f t="shared" si="9"/>
        <v/>
      </c>
      <c r="BW30" s="50" t="str">
        <f t="shared" si="10"/>
        <v/>
      </c>
      <c r="BX30" s="50" t="str">
        <f t="shared" si="50"/>
        <v/>
      </c>
      <c r="BY30" s="45"/>
      <c r="BZ30" s="43"/>
      <c r="CA30" s="72"/>
      <c r="CB30" s="72"/>
      <c r="CC30" s="72"/>
      <c r="CD30" s="72"/>
      <c r="CE30" s="72"/>
      <c r="CF30" s="72"/>
      <c r="CG30" s="72"/>
      <c r="CH30" s="72"/>
      <c r="CI30" s="72"/>
      <c r="CJ30" s="72"/>
      <c r="CK30" s="70"/>
      <c r="CL30" s="70"/>
    </row>
    <row r="31" spans="1:90" x14ac:dyDescent="0.3">
      <c r="A31" s="48">
        <f>'EINGABEN EINZELWERTE'!B8</f>
        <v>0</v>
      </c>
      <c r="B31" s="45" t="str">
        <f t="shared" si="52"/>
        <v/>
      </c>
      <c r="C31" s="48">
        <f>IF((B31=""),MAX(B9:B108),B31)</f>
        <v>20000</v>
      </c>
      <c r="D31" s="45">
        <f>SMALL(C9:C108,23)</f>
        <v>20000</v>
      </c>
      <c r="E31" s="45">
        <f>LARGE(C9:C108,23)</f>
        <v>20000</v>
      </c>
      <c r="F31" s="49">
        <f>IF(Q6=1,D31,-E31)</f>
        <v>-20000</v>
      </c>
      <c r="G31" s="49">
        <f t="shared" si="0"/>
        <v>0.11251763361691523</v>
      </c>
      <c r="H31" s="49">
        <f t="shared" si="11"/>
        <v>0.10731709395383104</v>
      </c>
      <c r="I31" s="45"/>
      <c r="J31" s="45">
        <f>IF(Q6=1,D31,D31)</f>
        <v>20000</v>
      </c>
      <c r="K31" s="45">
        <f t="shared" si="12"/>
        <v>0.88748236638308475</v>
      </c>
      <c r="L31" s="45">
        <f t="shared" si="13"/>
        <v>0.89268290604616896</v>
      </c>
      <c r="M31" s="45">
        <f t="shared" si="1"/>
        <v>0.69871771847211805</v>
      </c>
      <c r="N31" s="48"/>
      <c r="O31" s="68"/>
      <c r="P31" s="67"/>
      <c r="Q31" s="68"/>
      <c r="R31" s="68"/>
      <c r="S31" s="45">
        <f t="shared" si="2"/>
        <v>1</v>
      </c>
      <c r="T31" s="45">
        <f t="shared" si="3"/>
        <v>1</v>
      </c>
      <c r="U31" s="48">
        <f t="shared" si="14"/>
        <v>1.0000000822403709E-9</v>
      </c>
      <c r="V31" s="48">
        <f t="shared" si="15"/>
        <v>1.0000000822403709E-9</v>
      </c>
      <c r="W31" s="45">
        <f t="shared" si="16"/>
        <v>1.0000001644807486E-18</v>
      </c>
      <c r="X31" s="45">
        <f t="shared" si="17"/>
        <v>1.0000001644807486E-18</v>
      </c>
      <c r="Y31" s="45">
        <f t="shared" si="18"/>
        <v>1.0000001644807486E-18</v>
      </c>
      <c r="Z31" s="45"/>
      <c r="AA31" s="45">
        <f t="shared" si="4"/>
        <v>1</v>
      </c>
      <c r="AB31" s="45">
        <f t="shared" si="19"/>
        <v>1</v>
      </c>
      <c r="AC31" s="45">
        <f t="shared" si="20"/>
        <v>1.0000000822403709E-9</v>
      </c>
      <c r="AD31" s="45">
        <f t="shared" si="21"/>
        <v>1.0000000822403709E-9</v>
      </c>
      <c r="AE31" s="45">
        <f t="shared" si="22"/>
        <v>1.0000001644807486E-18</v>
      </c>
      <c r="AF31" s="45">
        <f t="shared" si="23"/>
        <v>1.0000001644807486E-18</v>
      </c>
      <c r="AG31" s="45">
        <f t="shared" si="24"/>
        <v>1.0000001644807486E-18</v>
      </c>
      <c r="AH31" s="45"/>
      <c r="AI31" s="45">
        <f t="shared" si="25"/>
        <v>1</v>
      </c>
      <c r="AJ31" s="45">
        <f t="shared" si="26"/>
        <v>1</v>
      </c>
      <c r="AK31" s="45">
        <f t="shared" si="27"/>
        <v>1.0000000822403709E-9</v>
      </c>
      <c r="AL31" s="45">
        <f t="shared" si="28"/>
        <v>1.0000000822403709E-9</v>
      </c>
      <c r="AM31" s="45">
        <f t="shared" si="29"/>
        <v>1.0000001644807486E-18</v>
      </c>
      <c r="AN31" s="45">
        <f t="shared" si="30"/>
        <v>1.0000001644807486E-18</v>
      </c>
      <c r="AO31" s="45">
        <f t="shared" si="31"/>
        <v>1.0000001644807486E-18</v>
      </c>
      <c r="AP31" s="45"/>
      <c r="AQ31" s="45">
        <f t="shared" si="32"/>
        <v>1</v>
      </c>
      <c r="AR31" s="45">
        <f t="shared" si="33"/>
        <v>1</v>
      </c>
      <c r="AS31" s="45">
        <f t="shared" si="34"/>
        <v>1.0000000822403709E-9</v>
      </c>
      <c r="AT31" s="45">
        <f t="shared" si="35"/>
        <v>1.0000000822403709E-9</v>
      </c>
      <c r="AU31" s="45">
        <f t="shared" si="36"/>
        <v>1.0000001644807486E-18</v>
      </c>
      <c r="AV31" s="45">
        <f t="shared" si="37"/>
        <v>1.0000001644807486E-18</v>
      </c>
      <c r="AW31" s="45">
        <f t="shared" si="38"/>
        <v>1.0000001644807486E-18</v>
      </c>
      <c r="AX31" s="45"/>
      <c r="AY31" s="45"/>
      <c r="AZ31" s="45"/>
      <c r="BA31" s="45" t="str">
        <f t="shared" si="39"/>
        <v/>
      </c>
      <c r="BB31" s="45" t="str">
        <f t="shared" si="40"/>
        <v/>
      </c>
      <c r="BC31" s="45" t="str">
        <f t="shared" si="41"/>
        <v/>
      </c>
      <c r="BD31" s="45" t="str">
        <f t="shared" si="42"/>
        <v/>
      </c>
      <c r="BE31" s="45" t="str">
        <f t="shared" si="5"/>
        <v/>
      </c>
      <c r="BF31" s="45" t="str">
        <f t="shared" si="6"/>
        <v/>
      </c>
      <c r="BG31" s="45" t="str">
        <f t="shared" si="43"/>
        <v/>
      </c>
      <c r="BH31" s="45"/>
      <c r="BI31" s="45">
        <f t="shared" si="51"/>
        <v>-20000</v>
      </c>
      <c r="BJ31" s="45">
        <f t="shared" si="44"/>
        <v>0.10731709395383104</v>
      </c>
      <c r="BK31" s="45">
        <f t="shared" si="45"/>
        <v>0.12021860531546985</v>
      </c>
      <c r="BL31" s="45">
        <f t="shared" si="46"/>
        <v>-2.1184434825408114</v>
      </c>
      <c r="BM31" s="45">
        <f t="shared" si="7"/>
        <v>42368.869650816225</v>
      </c>
      <c r="BN31" s="45">
        <f t="shared" si="8"/>
        <v>400000000</v>
      </c>
      <c r="BO31" s="45">
        <f t="shared" si="47"/>
        <v>4.487802788719641</v>
      </c>
      <c r="BP31" s="45"/>
      <c r="BQ31" s="45"/>
      <c r="BR31" s="50" t="str">
        <f>IF(B86="","",F31)</f>
        <v/>
      </c>
      <c r="BS31" s="50" t="str">
        <f>IF(B86="","",BJ31)</f>
        <v/>
      </c>
      <c r="BT31" s="50" t="str">
        <f t="shared" si="48"/>
        <v/>
      </c>
      <c r="BU31" s="50" t="str">
        <f t="shared" si="49"/>
        <v/>
      </c>
      <c r="BV31" s="50" t="str">
        <f t="shared" si="9"/>
        <v/>
      </c>
      <c r="BW31" s="50" t="str">
        <f t="shared" si="10"/>
        <v/>
      </c>
      <c r="BX31" s="50" t="str">
        <f t="shared" si="50"/>
        <v/>
      </c>
      <c r="BY31" s="45"/>
      <c r="BZ31" s="43"/>
      <c r="CA31" s="72"/>
      <c r="CB31" s="72"/>
      <c r="CC31" s="72"/>
      <c r="CD31" s="72"/>
      <c r="CE31" s="72"/>
      <c r="CF31" s="72"/>
      <c r="CG31" s="72"/>
      <c r="CH31" s="72"/>
      <c r="CI31" s="72"/>
      <c r="CJ31" s="72"/>
      <c r="CK31" s="70"/>
      <c r="CL31" s="70"/>
    </row>
    <row r="32" spans="1:90" x14ac:dyDescent="0.3">
      <c r="A32" s="48">
        <f>'EINGABEN EINZELWERTE'!B9</f>
        <v>0</v>
      </c>
      <c r="B32" s="45" t="str">
        <f t="shared" si="52"/>
        <v/>
      </c>
      <c r="C32" s="48">
        <f>IF((B32=""),MAX(B9:B108),B32)</f>
        <v>20000</v>
      </c>
      <c r="D32" s="45">
        <f>SMALL(C9:C108,24)</f>
        <v>20000</v>
      </c>
      <c r="E32" s="45">
        <f>LARGE(C9:C108,24)</f>
        <v>20000</v>
      </c>
      <c r="F32" s="49">
        <f>IF(Q6=1,D32,-E32)</f>
        <v>-20000</v>
      </c>
      <c r="G32" s="49">
        <f t="shared" si="0"/>
        <v>0.11251763361691523</v>
      </c>
      <c r="H32" s="49">
        <f t="shared" si="11"/>
        <v>0.10731709395383104</v>
      </c>
      <c r="I32" s="45"/>
      <c r="J32" s="45">
        <f>IF(Q6=1,D32,D32)</f>
        <v>20000</v>
      </c>
      <c r="K32" s="45">
        <f t="shared" si="12"/>
        <v>0.88748236638308475</v>
      </c>
      <c r="L32" s="45">
        <f t="shared" si="13"/>
        <v>0.89268290604616896</v>
      </c>
      <c r="M32" s="45">
        <f t="shared" si="1"/>
        <v>0.69871771847211805</v>
      </c>
      <c r="N32" s="48"/>
      <c r="O32" s="68"/>
      <c r="P32" s="67"/>
      <c r="Q32" s="68"/>
      <c r="R32" s="68"/>
      <c r="S32" s="45">
        <f t="shared" si="2"/>
        <v>1</v>
      </c>
      <c r="T32" s="45">
        <f t="shared" si="3"/>
        <v>1</v>
      </c>
      <c r="U32" s="48">
        <f t="shared" si="14"/>
        <v>1.0000000822403709E-9</v>
      </c>
      <c r="V32" s="48">
        <f t="shared" si="15"/>
        <v>1.0000000822403709E-9</v>
      </c>
      <c r="W32" s="45">
        <f t="shared" si="16"/>
        <v>1.0000001644807486E-18</v>
      </c>
      <c r="X32" s="45">
        <f t="shared" si="17"/>
        <v>1.0000001644807486E-18</v>
      </c>
      <c r="Y32" s="45">
        <f t="shared" si="18"/>
        <v>1.0000001644807486E-18</v>
      </c>
      <c r="Z32" s="45"/>
      <c r="AA32" s="45">
        <f t="shared" si="4"/>
        <v>1</v>
      </c>
      <c r="AB32" s="45">
        <f t="shared" si="19"/>
        <v>1</v>
      </c>
      <c r="AC32" s="45">
        <f t="shared" si="20"/>
        <v>1.0000000822403709E-9</v>
      </c>
      <c r="AD32" s="45">
        <f t="shared" si="21"/>
        <v>1.0000000822403709E-9</v>
      </c>
      <c r="AE32" s="45">
        <f t="shared" si="22"/>
        <v>1.0000001644807486E-18</v>
      </c>
      <c r="AF32" s="45">
        <f t="shared" si="23"/>
        <v>1.0000001644807486E-18</v>
      </c>
      <c r="AG32" s="45">
        <f t="shared" si="24"/>
        <v>1.0000001644807486E-18</v>
      </c>
      <c r="AH32" s="45"/>
      <c r="AI32" s="45">
        <f t="shared" si="25"/>
        <v>1</v>
      </c>
      <c r="AJ32" s="45">
        <f t="shared" si="26"/>
        <v>1</v>
      </c>
      <c r="AK32" s="45">
        <f t="shared" si="27"/>
        <v>1.0000000822403709E-9</v>
      </c>
      <c r="AL32" s="45">
        <f t="shared" si="28"/>
        <v>1.0000000822403709E-9</v>
      </c>
      <c r="AM32" s="45">
        <f t="shared" si="29"/>
        <v>1.0000001644807486E-18</v>
      </c>
      <c r="AN32" s="45">
        <f t="shared" si="30"/>
        <v>1.0000001644807486E-18</v>
      </c>
      <c r="AO32" s="45">
        <f t="shared" si="31"/>
        <v>1.0000001644807486E-18</v>
      </c>
      <c r="AP32" s="45"/>
      <c r="AQ32" s="45">
        <f t="shared" si="32"/>
        <v>1</v>
      </c>
      <c r="AR32" s="45">
        <f t="shared" si="33"/>
        <v>1</v>
      </c>
      <c r="AS32" s="45">
        <f t="shared" si="34"/>
        <v>1.0000000822403709E-9</v>
      </c>
      <c r="AT32" s="45">
        <f t="shared" si="35"/>
        <v>1.0000000822403709E-9</v>
      </c>
      <c r="AU32" s="45">
        <f t="shared" si="36"/>
        <v>1.0000001644807486E-18</v>
      </c>
      <c r="AV32" s="45">
        <f t="shared" si="37"/>
        <v>1.0000001644807486E-18</v>
      </c>
      <c r="AW32" s="45">
        <f t="shared" si="38"/>
        <v>1.0000001644807486E-18</v>
      </c>
      <c r="AX32" s="45"/>
      <c r="AY32" s="45"/>
      <c r="AZ32" s="45"/>
      <c r="BA32" s="45" t="str">
        <f t="shared" si="39"/>
        <v/>
      </c>
      <c r="BB32" s="45" t="str">
        <f t="shared" si="40"/>
        <v/>
      </c>
      <c r="BC32" s="45" t="str">
        <f t="shared" si="41"/>
        <v/>
      </c>
      <c r="BD32" s="45" t="str">
        <f t="shared" si="42"/>
        <v/>
      </c>
      <c r="BE32" s="45" t="str">
        <f t="shared" si="5"/>
        <v/>
      </c>
      <c r="BF32" s="45" t="str">
        <f t="shared" si="6"/>
        <v/>
      </c>
      <c r="BG32" s="45" t="str">
        <f t="shared" si="43"/>
        <v/>
      </c>
      <c r="BH32" s="45"/>
      <c r="BI32" s="45">
        <f t="shared" si="51"/>
        <v>-20000</v>
      </c>
      <c r="BJ32" s="45">
        <f t="shared" si="44"/>
        <v>0.10731709395383104</v>
      </c>
      <c r="BK32" s="45">
        <f t="shared" si="45"/>
        <v>0.12021860531546985</v>
      </c>
      <c r="BL32" s="45">
        <f t="shared" si="46"/>
        <v>-2.1184434825408114</v>
      </c>
      <c r="BM32" s="45">
        <f t="shared" si="7"/>
        <v>42368.869650816225</v>
      </c>
      <c r="BN32" s="45">
        <f t="shared" si="8"/>
        <v>400000000</v>
      </c>
      <c r="BO32" s="45">
        <f t="shared" si="47"/>
        <v>4.487802788719641</v>
      </c>
      <c r="BP32" s="45"/>
      <c r="BQ32" s="45"/>
      <c r="BR32" s="50" t="str">
        <f>IF(B85="","",F32)</f>
        <v/>
      </c>
      <c r="BS32" s="50" t="str">
        <f>IF(B85="","",BJ32)</f>
        <v/>
      </c>
      <c r="BT32" s="50" t="str">
        <f t="shared" si="48"/>
        <v/>
      </c>
      <c r="BU32" s="50" t="str">
        <f t="shared" si="49"/>
        <v/>
      </c>
      <c r="BV32" s="50" t="str">
        <f t="shared" si="9"/>
        <v/>
      </c>
      <c r="BW32" s="50" t="str">
        <f t="shared" si="10"/>
        <v/>
      </c>
      <c r="BX32" s="50" t="str">
        <f t="shared" si="50"/>
        <v/>
      </c>
      <c r="BY32" s="45"/>
      <c r="BZ32" s="43"/>
      <c r="CA32" s="72"/>
      <c r="CB32" s="72"/>
      <c r="CC32" s="72"/>
      <c r="CD32" s="72"/>
      <c r="CE32" s="72"/>
      <c r="CF32" s="72"/>
      <c r="CG32" s="72"/>
      <c r="CH32" s="72"/>
      <c r="CI32" s="72"/>
      <c r="CJ32" s="72"/>
      <c r="CK32" s="70"/>
      <c r="CL32" s="70"/>
    </row>
    <row r="33" spans="1:90" x14ac:dyDescent="0.3">
      <c r="A33" s="48">
        <f>'EINGABEN EINZELWERTE'!B10</f>
        <v>0</v>
      </c>
      <c r="B33" s="45" t="str">
        <f t="shared" si="52"/>
        <v/>
      </c>
      <c r="C33" s="48">
        <f>IF((B33=""),MAX(B9:B108),B33)</f>
        <v>20000</v>
      </c>
      <c r="D33" s="45">
        <f>SMALL(C9:C108,25)</f>
        <v>20000</v>
      </c>
      <c r="E33" s="45">
        <f>LARGE(C9:C108,25)</f>
        <v>20000</v>
      </c>
      <c r="F33" s="49">
        <f>IF(Q6=1,D33,-E33)</f>
        <v>-20000</v>
      </c>
      <c r="G33" s="49">
        <f t="shared" si="0"/>
        <v>0.11251763361691523</v>
      </c>
      <c r="H33" s="49">
        <f t="shared" si="11"/>
        <v>0.10731709395383104</v>
      </c>
      <c r="I33" s="45"/>
      <c r="J33" s="45">
        <f>IF(Q6=1,D33,D33)</f>
        <v>20000</v>
      </c>
      <c r="K33" s="45">
        <f t="shared" si="12"/>
        <v>0.88748236638308475</v>
      </c>
      <c r="L33" s="45">
        <f t="shared" si="13"/>
        <v>0.89268290604616896</v>
      </c>
      <c r="M33" s="45">
        <f t="shared" si="1"/>
        <v>0.69871771847211805</v>
      </c>
      <c r="N33" s="48"/>
      <c r="O33" s="68"/>
      <c r="P33" s="67"/>
      <c r="Q33" s="68"/>
      <c r="R33" s="68"/>
      <c r="S33" s="45">
        <f t="shared" si="2"/>
        <v>1</v>
      </c>
      <c r="T33" s="45">
        <f t="shared" si="3"/>
        <v>1</v>
      </c>
      <c r="U33" s="48">
        <f t="shared" si="14"/>
        <v>1.0000000822403709E-9</v>
      </c>
      <c r="V33" s="48">
        <f t="shared" si="15"/>
        <v>1.0000000822403709E-9</v>
      </c>
      <c r="W33" s="45">
        <f t="shared" si="16"/>
        <v>1.0000001644807486E-18</v>
      </c>
      <c r="X33" s="45">
        <f t="shared" si="17"/>
        <v>1.0000001644807486E-18</v>
      </c>
      <c r="Y33" s="45">
        <f t="shared" si="18"/>
        <v>1.0000001644807486E-18</v>
      </c>
      <c r="Z33" s="45"/>
      <c r="AA33" s="45">
        <f t="shared" si="4"/>
        <v>1</v>
      </c>
      <c r="AB33" s="45">
        <f t="shared" si="19"/>
        <v>1</v>
      </c>
      <c r="AC33" s="45">
        <f t="shared" si="20"/>
        <v>1.0000000822403709E-9</v>
      </c>
      <c r="AD33" s="45">
        <f t="shared" si="21"/>
        <v>1.0000000822403709E-9</v>
      </c>
      <c r="AE33" s="45">
        <f t="shared" si="22"/>
        <v>1.0000001644807486E-18</v>
      </c>
      <c r="AF33" s="45">
        <f t="shared" si="23"/>
        <v>1.0000001644807486E-18</v>
      </c>
      <c r="AG33" s="45">
        <f t="shared" si="24"/>
        <v>1.0000001644807486E-18</v>
      </c>
      <c r="AH33" s="45"/>
      <c r="AI33" s="45">
        <f t="shared" si="25"/>
        <v>1</v>
      </c>
      <c r="AJ33" s="45">
        <f t="shared" si="26"/>
        <v>1</v>
      </c>
      <c r="AK33" s="45">
        <f t="shared" si="27"/>
        <v>1.0000000822403709E-9</v>
      </c>
      <c r="AL33" s="45">
        <f t="shared" si="28"/>
        <v>1.0000000822403709E-9</v>
      </c>
      <c r="AM33" s="45">
        <f t="shared" si="29"/>
        <v>1.0000001644807486E-18</v>
      </c>
      <c r="AN33" s="45">
        <f t="shared" si="30"/>
        <v>1.0000001644807486E-18</v>
      </c>
      <c r="AO33" s="45">
        <f t="shared" si="31"/>
        <v>1.0000001644807486E-18</v>
      </c>
      <c r="AP33" s="45"/>
      <c r="AQ33" s="45">
        <f t="shared" si="32"/>
        <v>1</v>
      </c>
      <c r="AR33" s="45">
        <f t="shared" si="33"/>
        <v>1</v>
      </c>
      <c r="AS33" s="45">
        <f t="shared" si="34"/>
        <v>1.0000000822403709E-9</v>
      </c>
      <c r="AT33" s="45">
        <f t="shared" si="35"/>
        <v>1.0000000822403709E-9</v>
      </c>
      <c r="AU33" s="45">
        <f t="shared" si="36"/>
        <v>1.0000001644807486E-18</v>
      </c>
      <c r="AV33" s="45">
        <f t="shared" si="37"/>
        <v>1.0000001644807486E-18</v>
      </c>
      <c r="AW33" s="45">
        <f t="shared" si="38"/>
        <v>1.0000001644807486E-18</v>
      </c>
      <c r="AX33" s="45"/>
      <c r="AY33" s="45"/>
      <c r="AZ33" s="45"/>
      <c r="BA33" s="45" t="str">
        <f t="shared" si="39"/>
        <v/>
      </c>
      <c r="BB33" s="45" t="str">
        <f t="shared" si="40"/>
        <v/>
      </c>
      <c r="BC33" s="45" t="str">
        <f t="shared" si="41"/>
        <v/>
      </c>
      <c r="BD33" s="45" t="str">
        <f t="shared" si="42"/>
        <v/>
      </c>
      <c r="BE33" s="45" t="str">
        <f t="shared" si="5"/>
        <v/>
      </c>
      <c r="BF33" s="45" t="str">
        <f t="shared" si="6"/>
        <v/>
      </c>
      <c r="BG33" s="45" t="str">
        <f t="shared" si="43"/>
        <v/>
      </c>
      <c r="BH33" s="45"/>
      <c r="BI33" s="45">
        <f t="shared" si="51"/>
        <v>-20000</v>
      </c>
      <c r="BJ33" s="45">
        <f t="shared" si="44"/>
        <v>0.10731709395383104</v>
      </c>
      <c r="BK33" s="45">
        <f t="shared" si="45"/>
        <v>0.12021860531546985</v>
      </c>
      <c r="BL33" s="45">
        <f t="shared" si="46"/>
        <v>-2.1184434825408114</v>
      </c>
      <c r="BM33" s="45">
        <f t="shared" si="7"/>
        <v>42368.869650816225</v>
      </c>
      <c r="BN33" s="45">
        <f t="shared" si="8"/>
        <v>400000000</v>
      </c>
      <c r="BO33" s="45">
        <f t="shared" si="47"/>
        <v>4.487802788719641</v>
      </c>
      <c r="BP33" s="45"/>
      <c r="BQ33" s="45"/>
      <c r="BR33" s="50" t="str">
        <f>IF(B84="","",F33)</f>
        <v/>
      </c>
      <c r="BS33" s="50" t="str">
        <f>IF(B84="","",BJ33)</f>
        <v/>
      </c>
      <c r="BT33" s="50" t="str">
        <f t="shared" si="48"/>
        <v/>
      </c>
      <c r="BU33" s="50" t="str">
        <f t="shared" si="49"/>
        <v/>
      </c>
      <c r="BV33" s="50" t="str">
        <f t="shared" si="9"/>
        <v/>
      </c>
      <c r="BW33" s="50" t="str">
        <f t="shared" si="10"/>
        <v/>
      </c>
      <c r="BX33" s="50" t="str">
        <f t="shared" si="50"/>
        <v/>
      </c>
      <c r="BY33" s="45"/>
      <c r="BZ33" s="43"/>
      <c r="CA33" s="72"/>
      <c r="CB33" s="72"/>
      <c r="CC33" s="72"/>
      <c r="CD33" s="72"/>
      <c r="CE33" s="72"/>
      <c r="CF33" s="72"/>
      <c r="CG33" s="72"/>
      <c r="CH33" s="72"/>
      <c r="CI33" s="72"/>
      <c r="CJ33" s="72"/>
      <c r="CK33" s="70"/>
      <c r="CL33" s="70"/>
    </row>
    <row r="34" spans="1:90" x14ac:dyDescent="0.3">
      <c r="A34" s="48">
        <f>'EINGABEN EINZELWERTE'!B11</f>
        <v>0</v>
      </c>
      <c r="B34" s="45" t="str">
        <f t="shared" si="52"/>
        <v/>
      </c>
      <c r="C34" s="48">
        <f>IF((B34=""),MAX(B9:B108),B34)</f>
        <v>20000</v>
      </c>
      <c r="D34" s="45">
        <f>SMALL(C9:C108,26)</f>
        <v>20000</v>
      </c>
      <c r="E34" s="45">
        <f>LARGE(C9:C108,26)</f>
        <v>20000</v>
      </c>
      <c r="F34" s="49">
        <f>IF(Q6=1,D34,-E34)</f>
        <v>-20000</v>
      </c>
      <c r="G34" s="49">
        <f t="shared" si="0"/>
        <v>0.11251763361691523</v>
      </c>
      <c r="H34" s="49">
        <f t="shared" si="11"/>
        <v>0.10731709395383104</v>
      </c>
      <c r="I34" s="45"/>
      <c r="J34" s="45">
        <f>IF(Q6=1,D34,D34)</f>
        <v>20000</v>
      </c>
      <c r="K34" s="45">
        <f t="shared" si="12"/>
        <v>0.88748236638308475</v>
      </c>
      <c r="L34" s="45">
        <f t="shared" si="13"/>
        <v>0.89268290604616896</v>
      </c>
      <c r="M34" s="45">
        <f t="shared" si="1"/>
        <v>0.69871771847211805</v>
      </c>
      <c r="N34" s="48"/>
      <c r="O34" s="68"/>
      <c r="P34" s="67"/>
      <c r="Q34" s="68"/>
      <c r="R34" s="68"/>
      <c r="S34" s="45">
        <f t="shared" si="2"/>
        <v>1</v>
      </c>
      <c r="T34" s="45">
        <f t="shared" si="3"/>
        <v>1</v>
      </c>
      <c r="U34" s="48">
        <f t="shared" si="14"/>
        <v>1.0000000822403709E-9</v>
      </c>
      <c r="V34" s="48">
        <f t="shared" si="15"/>
        <v>1.0000000822403709E-9</v>
      </c>
      <c r="W34" s="45">
        <f t="shared" si="16"/>
        <v>1.0000001644807486E-18</v>
      </c>
      <c r="X34" s="45">
        <f t="shared" si="17"/>
        <v>1.0000001644807486E-18</v>
      </c>
      <c r="Y34" s="45">
        <f t="shared" si="18"/>
        <v>1.0000001644807486E-18</v>
      </c>
      <c r="Z34" s="45"/>
      <c r="AA34" s="45">
        <f t="shared" si="4"/>
        <v>1</v>
      </c>
      <c r="AB34" s="45">
        <f t="shared" si="19"/>
        <v>1</v>
      </c>
      <c r="AC34" s="45">
        <f t="shared" si="20"/>
        <v>1.0000000822403709E-9</v>
      </c>
      <c r="AD34" s="45">
        <f t="shared" si="21"/>
        <v>1.0000000822403709E-9</v>
      </c>
      <c r="AE34" s="45">
        <f t="shared" si="22"/>
        <v>1.0000001644807486E-18</v>
      </c>
      <c r="AF34" s="45">
        <f t="shared" si="23"/>
        <v>1.0000001644807486E-18</v>
      </c>
      <c r="AG34" s="45">
        <f t="shared" si="24"/>
        <v>1.0000001644807486E-18</v>
      </c>
      <c r="AH34" s="45"/>
      <c r="AI34" s="45">
        <f t="shared" si="25"/>
        <v>1</v>
      </c>
      <c r="AJ34" s="45">
        <f t="shared" si="26"/>
        <v>1</v>
      </c>
      <c r="AK34" s="45">
        <f t="shared" si="27"/>
        <v>1.0000000822403709E-9</v>
      </c>
      <c r="AL34" s="45">
        <f t="shared" si="28"/>
        <v>1.0000000822403709E-9</v>
      </c>
      <c r="AM34" s="45">
        <f t="shared" si="29"/>
        <v>1.0000001644807486E-18</v>
      </c>
      <c r="AN34" s="45">
        <f t="shared" si="30"/>
        <v>1.0000001644807486E-18</v>
      </c>
      <c r="AO34" s="45">
        <f t="shared" si="31"/>
        <v>1.0000001644807486E-18</v>
      </c>
      <c r="AP34" s="45"/>
      <c r="AQ34" s="45">
        <f t="shared" si="32"/>
        <v>1</v>
      </c>
      <c r="AR34" s="45">
        <f t="shared" si="33"/>
        <v>1</v>
      </c>
      <c r="AS34" s="45">
        <f t="shared" si="34"/>
        <v>1.0000000822403709E-9</v>
      </c>
      <c r="AT34" s="45">
        <f t="shared" si="35"/>
        <v>1.0000000822403709E-9</v>
      </c>
      <c r="AU34" s="45">
        <f t="shared" si="36"/>
        <v>1.0000001644807486E-18</v>
      </c>
      <c r="AV34" s="45">
        <f t="shared" si="37"/>
        <v>1.0000001644807486E-18</v>
      </c>
      <c r="AW34" s="45">
        <f t="shared" si="38"/>
        <v>1.0000001644807486E-18</v>
      </c>
      <c r="AX34" s="45"/>
      <c r="AY34" s="45"/>
      <c r="AZ34" s="45"/>
      <c r="BA34" s="45" t="str">
        <f t="shared" si="39"/>
        <v/>
      </c>
      <c r="BB34" s="45" t="str">
        <f t="shared" si="40"/>
        <v/>
      </c>
      <c r="BC34" s="45" t="str">
        <f t="shared" si="41"/>
        <v/>
      </c>
      <c r="BD34" s="45" t="str">
        <f t="shared" si="42"/>
        <v/>
      </c>
      <c r="BE34" s="45" t="str">
        <f t="shared" si="5"/>
        <v/>
      </c>
      <c r="BF34" s="45" t="str">
        <f t="shared" si="6"/>
        <v/>
      </c>
      <c r="BG34" s="45" t="str">
        <f t="shared" si="43"/>
        <v/>
      </c>
      <c r="BH34" s="45"/>
      <c r="BI34" s="45">
        <f t="shared" si="51"/>
        <v>-20000</v>
      </c>
      <c r="BJ34" s="45">
        <f t="shared" si="44"/>
        <v>0.10731709395383104</v>
      </c>
      <c r="BK34" s="45">
        <f t="shared" si="45"/>
        <v>0.12021860531546985</v>
      </c>
      <c r="BL34" s="45">
        <f t="shared" si="46"/>
        <v>-2.1184434825408114</v>
      </c>
      <c r="BM34" s="45">
        <f t="shared" si="7"/>
        <v>42368.869650816225</v>
      </c>
      <c r="BN34" s="45">
        <f t="shared" si="8"/>
        <v>400000000</v>
      </c>
      <c r="BO34" s="45">
        <f t="shared" si="47"/>
        <v>4.487802788719641</v>
      </c>
      <c r="BP34" s="45"/>
      <c r="BQ34" s="45"/>
      <c r="BR34" s="50" t="str">
        <f>IF(B83="","",F34)</f>
        <v/>
      </c>
      <c r="BS34" s="50" t="str">
        <f>IF(B83="","",BJ34)</f>
        <v/>
      </c>
      <c r="BT34" s="50" t="str">
        <f t="shared" si="48"/>
        <v/>
      </c>
      <c r="BU34" s="50" t="str">
        <f t="shared" si="49"/>
        <v/>
      </c>
      <c r="BV34" s="50" t="str">
        <f t="shared" si="9"/>
        <v/>
      </c>
      <c r="BW34" s="50" t="str">
        <f t="shared" si="10"/>
        <v/>
      </c>
      <c r="BX34" s="50" t="str">
        <f t="shared" si="50"/>
        <v/>
      </c>
      <c r="BY34" s="45"/>
      <c r="BZ34" s="43"/>
      <c r="CA34" s="72"/>
      <c r="CB34" s="72"/>
      <c r="CC34" s="72"/>
      <c r="CD34" s="72"/>
      <c r="CE34" s="72"/>
      <c r="CF34" s="72"/>
      <c r="CG34" s="72"/>
      <c r="CH34" s="72"/>
      <c r="CI34" s="72"/>
      <c r="CJ34" s="72"/>
      <c r="CK34" s="70"/>
      <c r="CL34" s="70"/>
    </row>
    <row r="35" spans="1:90" x14ac:dyDescent="0.3">
      <c r="A35" s="48">
        <f>'EINGABEN EINZELWERTE'!B12</f>
        <v>0</v>
      </c>
      <c r="B35" s="45" t="str">
        <f t="shared" si="52"/>
        <v/>
      </c>
      <c r="C35" s="48">
        <f>IF((B35=""),MAX(B9:B108),B35)</f>
        <v>20000</v>
      </c>
      <c r="D35" s="45">
        <f>SMALL(C9:C108,27)</f>
        <v>20000</v>
      </c>
      <c r="E35" s="45">
        <f>LARGE(C9:C108,27)</f>
        <v>20000</v>
      </c>
      <c r="F35" s="49">
        <f>IF(Q6=1,D35,-E35)</f>
        <v>-20000</v>
      </c>
      <c r="G35" s="49">
        <f t="shared" si="0"/>
        <v>0.11251763361691523</v>
      </c>
      <c r="H35" s="49">
        <f t="shared" si="11"/>
        <v>0.10731709395383104</v>
      </c>
      <c r="I35" s="45"/>
      <c r="J35" s="45">
        <f>IF(Q6=1,D35,D35)</f>
        <v>20000</v>
      </c>
      <c r="K35" s="45">
        <f t="shared" si="12"/>
        <v>0.88748236638308475</v>
      </c>
      <c r="L35" s="45">
        <f t="shared" si="13"/>
        <v>0.89268290604616896</v>
      </c>
      <c r="M35" s="45">
        <f t="shared" si="1"/>
        <v>0.69871771847211805</v>
      </c>
      <c r="N35" s="45"/>
      <c r="O35" s="68"/>
      <c r="P35" s="67"/>
      <c r="Q35" s="68"/>
      <c r="R35" s="68"/>
      <c r="S35" s="45">
        <f t="shared" si="2"/>
        <v>1</v>
      </c>
      <c r="T35" s="45">
        <f t="shared" si="3"/>
        <v>1</v>
      </c>
      <c r="U35" s="48">
        <f t="shared" si="14"/>
        <v>1.0000000822403709E-9</v>
      </c>
      <c r="V35" s="48">
        <f t="shared" si="15"/>
        <v>1.0000000822403709E-9</v>
      </c>
      <c r="W35" s="45">
        <f t="shared" si="16"/>
        <v>1.0000001644807486E-18</v>
      </c>
      <c r="X35" s="45">
        <f t="shared" si="17"/>
        <v>1.0000001644807486E-18</v>
      </c>
      <c r="Y35" s="45">
        <f t="shared" si="18"/>
        <v>1.0000001644807486E-18</v>
      </c>
      <c r="Z35" s="45"/>
      <c r="AA35" s="45">
        <f t="shared" si="4"/>
        <v>1</v>
      </c>
      <c r="AB35" s="45">
        <f t="shared" si="19"/>
        <v>1</v>
      </c>
      <c r="AC35" s="45">
        <f t="shared" si="20"/>
        <v>1.0000000822403709E-9</v>
      </c>
      <c r="AD35" s="45">
        <f t="shared" si="21"/>
        <v>1.0000000822403709E-9</v>
      </c>
      <c r="AE35" s="45">
        <f t="shared" si="22"/>
        <v>1.0000001644807486E-18</v>
      </c>
      <c r="AF35" s="45">
        <f t="shared" si="23"/>
        <v>1.0000001644807486E-18</v>
      </c>
      <c r="AG35" s="45">
        <f t="shared" si="24"/>
        <v>1.0000001644807486E-18</v>
      </c>
      <c r="AH35" s="45"/>
      <c r="AI35" s="45">
        <f t="shared" si="25"/>
        <v>1</v>
      </c>
      <c r="AJ35" s="45">
        <f t="shared" si="26"/>
        <v>1</v>
      </c>
      <c r="AK35" s="45">
        <f t="shared" si="27"/>
        <v>1.0000000822403709E-9</v>
      </c>
      <c r="AL35" s="45">
        <f t="shared" si="28"/>
        <v>1.0000000822403709E-9</v>
      </c>
      <c r="AM35" s="45">
        <f t="shared" si="29"/>
        <v>1.0000001644807486E-18</v>
      </c>
      <c r="AN35" s="45">
        <f t="shared" si="30"/>
        <v>1.0000001644807486E-18</v>
      </c>
      <c r="AO35" s="45">
        <f t="shared" si="31"/>
        <v>1.0000001644807486E-18</v>
      </c>
      <c r="AP35" s="45"/>
      <c r="AQ35" s="45">
        <f t="shared" si="32"/>
        <v>1</v>
      </c>
      <c r="AR35" s="45">
        <f t="shared" si="33"/>
        <v>1</v>
      </c>
      <c r="AS35" s="45">
        <f t="shared" si="34"/>
        <v>1.0000000822403709E-9</v>
      </c>
      <c r="AT35" s="45">
        <f t="shared" si="35"/>
        <v>1.0000000822403709E-9</v>
      </c>
      <c r="AU35" s="45">
        <f t="shared" si="36"/>
        <v>1.0000001644807486E-18</v>
      </c>
      <c r="AV35" s="45">
        <f t="shared" si="37"/>
        <v>1.0000001644807486E-18</v>
      </c>
      <c r="AW35" s="45">
        <f t="shared" si="38"/>
        <v>1.0000001644807486E-18</v>
      </c>
      <c r="AX35" s="45"/>
      <c r="AY35" s="45"/>
      <c r="AZ35" s="45"/>
      <c r="BA35" s="45" t="str">
        <f t="shared" si="39"/>
        <v/>
      </c>
      <c r="BB35" s="45" t="str">
        <f t="shared" si="40"/>
        <v/>
      </c>
      <c r="BC35" s="45" t="str">
        <f t="shared" si="41"/>
        <v/>
      </c>
      <c r="BD35" s="45" t="str">
        <f t="shared" si="42"/>
        <v/>
      </c>
      <c r="BE35" s="45" t="str">
        <f t="shared" si="5"/>
        <v/>
      </c>
      <c r="BF35" s="45" t="str">
        <f t="shared" si="6"/>
        <v/>
      </c>
      <c r="BG35" s="45" t="str">
        <f t="shared" si="43"/>
        <v/>
      </c>
      <c r="BH35" s="45"/>
      <c r="BI35" s="45">
        <f t="shared" si="51"/>
        <v>-20000</v>
      </c>
      <c r="BJ35" s="45">
        <f t="shared" si="44"/>
        <v>0.10731709395383104</v>
      </c>
      <c r="BK35" s="45">
        <f t="shared" si="45"/>
        <v>0.12021860531546985</v>
      </c>
      <c r="BL35" s="45">
        <f t="shared" si="46"/>
        <v>-2.1184434825408114</v>
      </c>
      <c r="BM35" s="45">
        <f t="shared" si="7"/>
        <v>42368.869650816225</v>
      </c>
      <c r="BN35" s="45">
        <f t="shared" si="8"/>
        <v>400000000</v>
      </c>
      <c r="BO35" s="45">
        <f t="shared" si="47"/>
        <v>4.487802788719641</v>
      </c>
      <c r="BP35" s="45"/>
      <c r="BQ35" s="45"/>
      <c r="BR35" s="50" t="str">
        <f>IF(B82="","",F35)</f>
        <v/>
      </c>
      <c r="BS35" s="50" t="str">
        <f>IF(B82="","",BJ35)</f>
        <v/>
      </c>
      <c r="BT35" s="50" t="str">
        <f t="shared" si="48"/>
        <v/>
      </c>
      <c r="BU35" s="50" t="str">
        <f t="shared" si="49"/>
        <v/>
      </c>
      <c r="BV35" s="50" t="str">
        <f t="shared" si="9"/>
        <v/>
      </c>
      <c r="BW35" s="50" t="str">
        <f t="shared" si="10"/>
        <v/>
      </c>
      <c r="BX35" s="50" t="str">
        <f t="shared" si="50"/>
        <v/>
      </c>
      <c r="BY35" s="45"/>
      <c r="BZ35" s="72"/>
      <c r="CA35" s="72"/>
      <c r="CB35" s="72"/>
      <c r="CC35" s="72"/>
      <c r="CD35" s="72"/>
      <c r="CE35" s="72"/>
      <c r="CF35" s="72"/>
      <c r="CG35" s="72"/>
      <c r="CH35" s="72"/>
      <c r="CI35" s="72"/>
      <c r="CJ35" s="72"/>
      <c r="CK35" s="70"/>
      <c r="CL35" s="70"/>
    </row>
    <row r="36" spans="1:90" x14ac:dyDescent="0.3">
      <c r="A36" s="48">
        <f>'EINGABEN EINZELWERTE'!B13</f>
        <v>0</v>
      </c>
      <c r="B36" s="45" t="str">
        <f t="shared" si="52"/>
        <v/>
      </c>
      <c r="C36" s="48">
        <f>IF((B36=""),MAX(B9:B108),B36)</f>
        <v>20000</v>
      </c>
      <c r="D36" s="45">
        <f>SMALL(C9:C108,28)</f>
        <v>20000</v>
      </c>
      <c r="E36" s="45">
        <f>LARGE(C9:C108,28)</f>
        <v>20000</v>
      </c>
      <c r="F36" s="49">
        <f>IF(Q6=1,D36,-E36)</f>
        <v>-20000</v>
      </c>
      <c r="G36" s="49">
        <f t="shared" si="0"/>
        <v>0.11251763361691523</v>
      </c>
      <c r="H36" s="49">
        <f t="shared" si="11"/>
        <v>0.10731709395383104</v>
      </c>
      <c r="I36" s="45"/>
      <c r="J36" s="45">
        <f>IF(Q6=1,D36,D36)</f>
        <v>20000</v>
      </c>
      <c r="K36" s="45">
        <f t="shared" si="12"/>
        <v>0.88748236638308475</v>
      </c>
      <c r="L36" s="45">
        <f t="shared" si="13"/>
        <v>0.89268290604616896</v>
      </c>
      <c r="M36" s="45">
        <f t="shared" si="1"/>
        <v>0.69871771847211805</v>
      </c>
      <c r="N36" s="48"/>
      <c r="O36" s="68"/>
      <c r="P36" s="67"/>
      <c r="Q36" s="68"/>
      <c r="R36" s="68"/>
      <c r="S36" s="45">
        <f t="shared" si="2"/>
        <v>1</v>
      </c>
      <c r="T36" s="45">
        <f t="shared" si="3"/>
        <v>1</v>
      </c>
      <c r="U36" s="48">
        <f t="shared" si="14"/>
        <v>1.0000000822403709E-9</v>
      </c>
      <c r="V36" s="48">
        <f t="shared" si="15"/>
        <v>1.0000000822403709E-9</v>
      </c>
      <c r="W36" s="45">
        <f t="shared" si="16"/>
        <v>1.0000001644807486E-18</v>
      </c>
      <c r="X36" s="45">
        <f t="shared" si="17"/>
        <v>1.0000001644807486E-18</v>
      </c>
      <c r="Y36" s="45">
        <f t="shared" si="18"/>
        <v>1.0000001644807486E-18</v>
      </c>
      <c r="Z36" s="45"/>
      <c r="AA36" s="45">
        <f t="shared" si="4"/>
        <v>1</v>
      </c>
      <c r="AB36" s="45">
        <f t="shared" si="19"/>
        <v>1</v>
      </c>
      <c r="AC36" s="45">
        <f t="shared" si="20"/>
        <v>1.0000000822403709E-9</v>
      </c>
      <c r="AD36" s="45">
        <f t="shared" si="21"/>
        <v>1.0000000822403709E-9</v>
      </c>
      <c r="AE36" s="45">
        <f t="shared" si="22"/>
        <v>1.0000001644807486E-18</v>
      </c>
      <c r="AF36" s="45">
        <f t="shared" si="23"/>
        <v>1.0000001644807486E-18</v>
      </c>
      <c r="AG36" s="45">
        <f t="shared" si="24"/>
        <v>1.0000001644807486E-18</v>
      </c>
      <c r="AH36" s="45"/>
      <c r="AI36" s="45">
        <f t="shared" si="25"/>
        <v>1</v>
      </c>
      <c r="AJ36" s="45">
        <f t="shared" si="26"/>
        <v>1</v>
      </c>
      <c r="AK36" s="45">
        <f t="shared" si="27"/>
        <v>1.0000000822403709E-9</v>
      </c>
      <c r="AL36" s="45">
        <f t="shared" si="28"/>
        <v>1.0000000822403709E-9</v>
      </c>
      <c r="AM36" s="45">
        <f t="shared" si="29"/>
        <v>1.0000001644807486E-18</v>
      </c>
      <c r="AN36" s="45">
        <f t="shared" si="30"/>
        <v>1.0000001644807486E-18</v>
      </c>
      <c r="AO36" s="45">
        <f t="shared" si="31"/>
        <v>1.0000001644807486E-18</v>
      </c>
      <c r="AP36" s="45"/>
      <c r="AQ36" s="45">
        <f t="shared" si="32"/>
        <v>1</v>
      </c>
      <c r="AR36" s="45">
        <f t="shared" si="33"/>
        <v>1</v>
      </c>
      <c r="AS36" s="45">
        <f t="shared" si="34"/>
        <v>1.0000000822403709E-9</v>
      </c>
      <c r="AT36" s="45">
        <f t="shared" si="35"/>
        <v>1.0000000822403709E-9</v>
      </c>
      <c r="AU36" s="45">
        <f t="shared" si="36"/>
        <v>1.0000001644807486E-18</v>
      </c>
      <c r="AV36" s="45">
        <f t="shared" si="37"/>
        <v>1.0000001644807486E-18</v>
      </c>
      <c r="AW36" s="45">
        <f t="shared" si="38"/>
        <v>1.0000001644807486E-18</v>
      </c>
      <c r="AX36" s="45"/>
      <c r="AY36" s="45"/>
      <c r="AZ36" s="45"/>
      <c r="BA36" s="45" t="str">
        <f t="shared" si="39"/>
        <v/>
      </c>
      <c r="BB36" s="45" t="str">
        <f t="shared" si="40"/>
        <v/>
      </c>
      <c r="BC36" s="45" t="str">
        <f t="shared" si="41"/>
        <v/>
      </c>
      <c r="BD36" s="45" t="str">
        <f t="shared" si="42"/>
        <v/>
      </c>
      <c r="BE36" s="45" t="str">
        <f t="shared" si="5"/>
        <v/>
      </c>
      <c r="BF36" s="45" t="str">
        <f t="shared" si="6"/>
        <v/>
      </c>
      <c r="BG36" s="45" t="str">
        <f t="shared" si="43"/>
        <v/>
      </c>
      <c r="BH36" s="45"/>
      <c r="BI36" s="45">
        <f t="shared" si="51"/>
        <v>-20000</v>
      </c>
      <c r="BJ36" s="45">
        <f t="shared" si="44"/>
        <v>0.10731709395383104</v>
      </c>
      <c r="BK36" s="45">
        <f t="shared" si="45"/>
        <v>0.12021860531546985</v>
      </c>
      <c r="BL36" s="45">
        <f t="shared" si="46"/>
        <v>-2.1184434825408114</v>
      </c>
      <c r="BM36" s="45">
        <f t="shared" si="7"/>
        <v>42368.869650816225</v>
      </c>
      <c r="BN36" s="45">
        <f t="shared" si="8"/>
        <v>400000000</v>
      </c>
      <c r="BO36" s="45">
        <f t="shared" si="47"/>
        <v>4.487802788719641</v>
      </c>
      <c r="BP36" s="45"/>
      <c r="BQ36" s="45"/>
      <c r="BR36" s="50" t="str">
        <f>IF(B81="","",F36)</f>
        <v/>
      </c>
      <c r="BS36" s="50" t="str">
        <f>IF(B81="","",BJ36)</f>
        <v/>
      </c>
      <c r="BT36" s="50" t="str">
        <f t="shared" si="48"/>
        <v/>
      </c>
      <c r="BU36" s="50" t="str">
        <f t="shared" si="49"/>
        <v/>
      </c>
      <c r="BV36" s="50" t="str">
        <f t="shared" si="9"/>
        <v/>
      </c>
      <c r="BW36" s="50" t="str">
        <f t="shared" si="10"/>
        <v/>
      </c>
      <c r="BX36" s="50" t="str">
        <f t="shared" si="50"/>
        <v/>
      </c>
      <c r="BY36" s="45"/>
      <c r="BZ36" s="72"/>
      <c r="CA36" s="72"/>
      <c r="CB36" s="72"/>
      <c r="CC36" s="72"/>
      <c r="CD36" s="72"/>
      <c r="CE36" s="72"/>
      <c r="CF36" s="72"/>
      <c r="CG36" s="72"/>
      <c r="CH36" s="72"/>
      <c r="CI36" s="72"/>
      <c r="CJ36" s="72"/>
      <c r="CK36" s="70"/>
      <c r="CL36" s="70"/>
    </row>
    <row r="37" spans="1:90" x14ac:dyDescent="0.3">
      <c r="A37" s="48">
        <f>'EINGABEN EINZELWERTE'!B14</f>
        <v>0</v>
      </c>
      <c r="B37" s="45" t="str">
        <f t="shared" si="52"/>
        <v/>
      </c>
      <c r="C37" s="48">
        <f>IF((B37=""),MAX(B9:B108),B37)</f>
        <v>20000</v>
      </c>
      <c r="D37" s="45">
        <f>SMALL(C9:C108,29)</f>
        <v>20000</v>
      </c>
      <c r="E37" s="45">
        <f>LARGE(C9:C108,29)</f>
        <v>20000</v>
      </c>
      <c r="F37" s="49">
        <f>IF(Q6=1,D37,-E37)</f>
        <v>-20000</v>
      </c>
      <c r="G37" s="49">
        <f t="shared" si="0"/>
        <v>0.11251763361691523</v>
      </c>
      <c r="H37" s="49">
        <f t="shared" si="11"/>
        <v>0.10731709395383104</v>
      </c>
      <c r="I37" s="45"/>
      <c r="J37" s="45">
        <f>IF(Q6=1,D37,D37)</f>
        <v>20000</v>
      </c>
      <c r="K37" s="45">
        <f t="shared" si="12"/>
        <v>0.88748236638308475</v>
      </c>
      <c r="L37" s="45">
        <f t="shared" si="13"/>
        <v>0.89268290604616896</v>
      </c>
      <c r="M37" s="45">
        <f t="shared" si="1"/>
        <v>0.69871771847211805</v>
      </c>
      <c r="N37" s="48"/>
      <c r="O37" s="68"/>
      <c r="P37" s="67"/>
      <c r="Q37" s="68"/>
      <c r="R37" s="68"/>
      <c r="S37" s="45">
        <f t="shared" si="2"/>
        <v>1</v>
      </c>
      <c r="T37" s="45">
        <f t="shared" si="3"/>
        <v>1</v>
      </c>
      <c r="U37" s="48">
        <f t="shared" si="14"/>
        <v>1.0000000822403709E-9</v>
      </c>
      <c r="V37" s="48">
        <f t="shared" si="15"/>
        <v>1.0000000822403709E-9</v>
      </c>
      <c r="W37" s="45">
        <f t="shared" si="16"/>
        <v>1.0000001644807486E-18</v>
      </c>
      <c r="X37" s="45">
        <f t="shared" si="17"/>
        <v>1.0000001644807486E-18</v>
      </c>
      <c r="Y37" s="45">
        <f t="shared" si="18"/>
        <v>1.0000001644807486E-18</v>
      </c>
      <c r="Z37" s="45"/>
      <c r="AA37" s="45">
        <f t="shared" si="4"/>
        <v>1</v>
      </c>
      <c r="AB37" s="45">
        <f t="shared" si="19"/>
        <v>1</v>
      </c>
      <c r="AC37" s="45">
        <f t="shared" si="20"/>
        <v>1.0000000822403709E-9</v>
      </c>
      <c r="AD37" s="45">
        <f t="shared" si="21"/>
        <v>1.0000000822403709E-9</v>
      </c>
      <c r="AE37" s="45">
        <f t="shared" si="22"/>
        <v>1.0000001644807486E-18</v>
      </c>
      <c r="AF37" s="45">
        <f t="shared" si="23"/>
        <v>1.0000001644807486E-18</v>
      </c>
      <c r="AG37" s="45">
        <f t="shared" si="24"/>
        <v>1.0000001644807486E-18</v>
      </c>
      <c r="AH37" s="45"/>
      <c r="AI37" s="45">
        <f t="shared" si="25"/>
        <v>1</v>
      </c>
      <c r="AJ37" s="45">
        <f t="shared" si="26"/>
        <v>1</v>
      </c>
      <c r="AK37" s="45">
        <f t="shared" si="27"/>
        <v>1.0000000822403709E-9</v>
      </c>
      <c r="AL37" s="45">
        <f t="shared" si="28"/>
        <v>1.0000000822403709E-9</v>
      </c>
      <c r="AM37" s="45">
        <f t="shared" si="29"/>
        <v>1.0000001644807486E-18</v>
      </c>
      <c r="AN37" s="45">
        <f t="shared" si="30"/>
        <v>1.0000001644807486E-18</v>
      </c>
      <c r="AO37" s="45">
        <f t="shared" si="31"/>
        <v>1.0000001644807486E-18</v>
      </c>
      <c r="AP37" s="45"/>
      <c r="AQ37" s="45">
        <f t="shared" si="32"/>
        <v>1</v>
      </c>
      <c r="AR37" s="45">
        <f t="shared" si="33"/>
        <v>1</v>
      </c>
      <c r="AS37" s="45">
        <f t="shared" si="34"/>
        <v>1.0000000822403709E-9</v>
      </c>
      <c r="AT37" s="45">
        <f t="shared" si="35"/>
        <v>1.0000000822403709E-9</v>
      </c>
      <c r="AU37" s="45">
        <f t="shared" si="36"/>
        <v>1.0000001644807486E-18</v>
      </c>
      <c r="AV37" s="45">
        <f t="shared" si="37"/>
        <v>1.0000001644807486E-18</v>
      </c>
      <c r="AW37" s="45">
        <f t="shared" si="38"/>
        <v>1.0000001644807486E-18</v>
      </c>
      <c r="AX37" s="45"/>
      <c r="AY37" s="45"/>
      <c r="AZ37" s="45"/>
      <c r="BA37" s="45" t="str">
        <f t="shared" si="39"/>
        <v/>
      </c>
      <c r="BB37" s="45" t="str">
        <f t="shared" si="40"/>
        <v/>
      </c>
      <c r="BC37" s="45" t="str">
        <f t="shared" si="41"/>
        <v/>
      </c>
      <c r="BD37" s="45" t="str">
        <f t="shared" si="42"/>
        <v/>
      </c>
      <c r="BE37" s="45" t="str">
        <f t="shared" si="5"/>
        <v/>
      </c>
      <c r="BF37" s="45" t="str">
        <f t="shared" si="6"/>
        <v/>
      </c>
      <c r="BG37" s="45" t="str">
        <f t="shared" si="43"/>
        <v/>
      </c>
      <c r="BH37" s="45"/>
      <c r="BI37" s="45">
        <f t="shared" si="51"/>
        <v>-20000</v>
      </c>
      <c r="BJ37" s="45">
        <f t="shared" si="44"/>
        <v>0.10731709395383104</v>
      </c>
      <c r="BK37" s="45">
        <f t="shared" si="45"/>
        <v>0.12021860531546985</v>
      </c>
      <c r="BL37" s="45">
        <f t="shared" si="46"/>
        <v>-2.1184434825408114</v>
      </c>
      <c r="BM37" s="45">
        <f t="shared" si="7"/>
        <v>42368.869650816225</v>
      </c>
      <c r="BN37" s="45">
        <f t="shared" si="8"/>
        <v>400000000</v>
      </c>
      <c r="BO37" s="45">
        <f t="shared" si="47"/>
        <v>4.487802788719641</v>
      </c>
      <c r="BP37" s="45"/>
      <c r="BQ37" s="45"/>
      <c r="BR37" s="50" t="str">
        <f>IF(B80="","",F37)</f>
        <v/>
      </c>
      <c r="BS37" s="50" t="str">
        <f>IF(B80="","",BJ37)</f>
        <v/>
      </c>
      <c r="BT37" s="50" t="str">
        <f t="shared" si="48"/>
        <v/>
      </c>
      <c r="BU37" s="50" t="str">
        <f t="shared" si="49"/>
        <v/>
      </c>
      <c r="BV37" s="50" t="str">
        <f t="shared" si="9"/>
        <v/>
      </c>
      <c r="BW37" s="50" t="str">
        <f t="shared" si="10"/>
        <v/>
      </c>
      <c r="BX37" s="50" t="str">
        <f t="shared" si="50"/>
        <v/>
      </c>
      <c r="BY37" s="45"/>
      <c r="BZ37" s="72"/>
      <c r="CA37" s="72"/>
      <c r="CB37" s="72"/>
      <c r="CC37" s="72"/>
      <c r="CD37" s="72"/>
      <c r="CE37" s="72"/>
      <c r="CF37" s="72"/>
      <c r="CG37" s="72"/>
      <c r="CH37" s="72"/>
      <c r="CI37" s="72"/>
      <c r="CJ37" s="72"/>
      <c r="CK37" s="70"/>
      <c r="CL37" s="70"/>
    </row>
    <row r="38" spans="1:90" x14ac:dyDescent="0.3">
      <c r="A38" s="48">
        <f>'EINGABEN EINZELWERTE'!B15</f>
        <v>0</v>
      </c>
      <c r="B38" s="45" t="str">
        <f t="shared" si="52"/>
        <v/>
      </c>
      <c r="C38" s="48">
        <f>IF((B38=""),MAX(B9:B108),B38)</f>
        <v>20000</v>
      </c>
      <c r="D38" s="45">
        <f>SMALL(C9:C108,30)</f>
        <v>20000</v>
      </c>
      <c r="E38" s="45">
        <f>LARGE(C9:C108,30)</f>
        <v>20000</v>
      </c>
      <c r="F38" s="49">
        <f>IF(Q6=1,D38,-E38)</f>
        <v>-20000</v>
      </c>
      <c r="G38" s="49">
        <f t="shared" si="0"/>
        <v>0.11251763361691523</v>
      </c>
      <c r="H38" s="49">
        <f t="shared" si="11"/>
        <v>0.10731709395383104</v>
      </c>
      <c r="I38" s="45"/>
      <c r="J38" s="45">
        <f>IF(Q6=1,D38,D38)</f>
        <v>20000</v>
      </c>
      <c r="K38" s="45">
        <f t="shared" si="12"/>
        <v>0.88748236638308475</v>
      </c>
      <c r="L38" s="45">
        <f t="shared" si="13"/>
        <v>0.89268290604616896</v>
      </c>
      <c r="M38" s="45">
        <f t="shared" si="1"/>
        <v>0.69871771847211805</v>
      </c>
      <c r="N38" s="48"/>
      <c r="O38" s="68"/>
      <c r="P38" s="67"/>
      <c r="Q38" s="68"/>
      <c r="R38" s="68"/>
      <c r="S38" s="45">
        <f t="shared" si="2"/>
        <v>1</v>
      </c>
      <c r="T38" s="45">
        <f t="shared" si="3"/>
        <v>1</v>
      </c>
      <c r="U38" s="48">
        <f t="shared" si="14"/>
        <v>1.0000000822403709E-9</v>
      </c>
      <c r="V38" s="48">
        <f t="shared" si="15"/>
        <v>1.0000000822403709E-9</v>
      </c>
      <c r="W38" s="45">
        <f t="shared" si="16"/>
        <v>1.0000001644807486E-18</v>
      </c>
      <c r="X38" s="45">
        <f t="shared" si="17"/>
        <v>1.0000001644807486E-18</v>
      </c>
      <c r="Y38" s="45">
        <f t="shared" si="18"/>
        <v>1.0000001644807486E-18</v>
      </c>
      <c r="Z38" s="45"/>
      <c r="AA38" s="45">
        <f t="shared" si="4"/>
        <v>1</v>
      </c>
      <c r="AB38" s="45">
        <f t="shared" si="19"/>
        <v>1</v>
      </c>
      <c r="AC38" s="45">
        <f t="shared" si="20"/>
        <v>1.0000000822403709E-9</v>
      </c>
      <c r="AD38" s="45">
        <f t="shared" si="21"/>
        <v>1.0000000822403709E-9</v>
      </c>
      <c r="AE38" s="45">
        <f t="shared" si="22"/>
        <v>1.0000001644807486E-18</v>
      </c>
      <c r="AF38" s="45">
        <f t="shared" si="23"/>
        <v>1.0000001644807486E-18</v>
      </c>
      <c r="AG38" s="45">
        <f t="shared" si="24"/>
        <v>1.0000001644807486E-18</v>
      </c>
      <c r="AH38" s="45"/>
      <c r="AI38" s="45">
        <f t="shared" si="25"/>
        <v>1</v>
      </c>
      <c r="AJ38" s="45">
        <f t="shared" si="26"/>
        <v>1</v>
      </c>
      <c r="AK38" s="45">
        <f t="shared" si="27"/>
        <v>1.0000000822403709E-9</v>
      </c>
      <c r="AL38" s="45">
        <f t="shared" si="28"/>
        <v>1.0000000822403709E-9</v>
      </c>
      <c r="AM38" s="45">
        <f t="shared" si="29"/>
        <v>1.0000001644807486E-18</v>
      </c>
      <c r="AN38" s="45">
        <f t="shared" si="30"/>
        <v>1.0000001644807486E-18</v>
      </c>
      <c r="AO38" s="45">
        <f t="shared" si="31"/>
        <v>1.0000001644807486E-18</v>
      </c>
      <c r="AP38" s="45"/>
      <c r="AQ38" s="45">
        <f t="shared" si="32"/>
        <v>1</v>
      </c>
      <c r="AR38" s="45">
        <f t="shared" si="33"/>
        <v>1</v>
      </c>
      <c r="AS38" s="45">
        <f t="shared" si="34"/>
        <v>1.0000000822403709E-9</v>
      </c>
      <c r="AT38" s="45">
        <f t="shared" si="35"/>
        <v>1.0000000822403709E-9</v>
      </c>
      <c r="AU38" s="45">
        <f t="shared" si="36"/>
        <v>1.0000001644807486E-18</v>
      </c>
      <c r="AV38" s="45">
        <f t="shared" si="37"/>
        <v>1.0000001644807486E-18</v>
      </c>
      <c r="AW38" s="45">
        <f t="shared" si="38"/>
        <v>1.0000001644807486E-18</v>
      </c>
      <c r="AX38" s="45"/>
      <c r="AY38" s="45"/>
      <c r="AZ38" s="45"/>
      <c r="BA38" s="45" t="str">
        <f t="shared" si="39"/>
        <v/>
      </c>
      <c r="BB38" s="45" t="str">
        <f t="shared" si="40"/>
        <v/>
      </c>
      <c r="BC38" s="45" t="str">
        <f t="shared" si="41"/>
        <v/>
      </c>
      <c r="BD38" s="45" t="str">
        <f t="shared" si="42"/>
        <v/>
      </c>
      <c r="BE38" s="45" t="str">
        <f t="shared" si="5"/>
        <v/>
      </c>
      <c r="BF38" s="45" t="str">
        <f t="shared" si="6"/>
        <v/>
      </c>
      <c r="BG38" s="45" t="str">
        <f t="shared" si="43"/>
        <v/>
      </c>
      <c r="BH38" s="45"/>
      <c r="BI38" s="45">
        <f t="shared" si="51"/>
        <v>-20000</v>
      </c>
      <c r="BJ38" s="45">
        <f t="shared" si="44"/>
        <v>0.10731709395383104</v>
      </c>
      <c r="BK38" s="45">
        <f t="shared" si="45"/>
        <v>0.12021860531546985</v>
      </c>
      <c r="BL38" s="45">
        <f t="shared" si="46"/>
        <v>-2.1184434825408114</v>
      </c>
      <c r="BM38" s="45">
        <f t="shared" si="7"/>
        <v>42368.869650816225</v>
      </c>
      <c r="BN38" s="45">
        <f t="shared" si="8"/>
        <v>400000000</v>
      </c>
      <c r="BO38" s="45">
        <f t="shared" si="47"/>
        <v>4.487802788719641</v>
      </c>
      <c r="BP38" s="45"/>
      <c r="BQ38" s="45"/>
      <c r="BR38" s="50" t="str">
        <f>IF(B79="","",F38)</f>
        <v/>
      </c>
      <c r="BS38" s="50" t="str">
        <f>IF(B79="","",BJ38)</f>
        <v/>
      </c>
      <c r="BT38" s="50" t="str">
        <f t="shared" si="48"/>
        <v/>
      </c>
      <c r="BU38" s="50" t="str">
        <f t="shared" si="49"/>
        <v/>
      </c>
      <c r="BV38" s="50" t="str">
        <f t="shared" si="9"/>
        <v/>
      </c>
      <c r="BW38" s="50" t="str">
        <f t="shared" si="10"/>
        <v/>
      </c>
      <c r="BX38" s="50" t="str">
        <f t="shared" si="50"/>
        <v/>
      </c>
      <c r="BY38" s="45"/>
      <c r="BZ38" s="72"/>
      <c r="CA38" s="72"/>
      <c r="CB38" s="72"/>
      <c r="CC38" s="72"/>
      <c r="CD38" s="72"/>
      <c r="CE38" s="72"/>
      <c r="CF38" s="72"/>
      <c r="CG38" s="72"/>
      <c r="CH38" s="72"/>
      <c r="CI38" s="72"/>
      <c r="CJ38" s="72"/>
      <c r="CK38" s="70"/>
      <c r="CL38" s="70"/>
    </row>
    <row r="39" spans="1:90" x14ac:dyDescent="0.3">
      <c r="A39" s="48">
        <f>'EINGABEN EINZELWERTE'!B16</f>
        <v>0</v>
      </c>
      <c r="B39" s="45" t="str">
        <f t="shared" si="52"/>
        <v/>
      </c>
      <c r="C39" s="48">
        <f>IF((B39=""),MAX(B9:B108),B39)</f>
        <v>20000</v>
      </c>
      <c r="D39" s="45">
        <f>SMALL(C9:C108,31)</f>
        <v>20000</v>
      </c>
      <c r="E39" s="45">
        <f>LARGE(C9:C108,31)</f>
        <v>20000</v>
      </c>
      <c r="F39" s="49">
        <f>IF(Q6=1,D39,-E39)</f>
        <v>-20000</v>
      </c>
      <c r="G39" s="49">
        <f t="shared" si="0"/>
        <v>0.11251763361691523</v>
      </c>
      <c r="H39" s="49">
        <f t="shared" si="11"/>
        <v>0.10731709395383104</v>
      </c>
      <c r="I39" s="45"/>
      <c r="J39" s="45">
        <f>IF(Q6=1,D39,D39)</f>
        <v>20000</v>
      </c>
      <c r="K39" s="45">
        <f t="shared" si="12"/>
        <v>0.88748236638308475</v>
      </c>
      <c r="L39" s="45">
        <f t="shared" si="13"/>
        <v>0.89268290604616896</v>
      </c>
      <c r="M39" s="45">
        <f t="shared" si="1"/>
        <v>0.69871771847211805</v>
      </c>
      <c r="N39" s="48"/>
      <c r="O39" s="68"/>
      <c r="P39" s="67"/>
      <c r="Q39" s="68"/>
      <c r="R39" s="68"/>
      <c r="S39" s="45">
        <f t="shared" si="2"/>
        <v>1</v>
      </c>
      <c r="T39" s="45">
        <f t="shared" si="3"/>
        <v>1</v>
      </c>
      <c r="U39" s="48">
        <f t="shared" si="14"/>
        <v>1.0000000822403709E-9</v>
      </c>
      <c r="V39" s="48">
        <f t="shared" si="15"/>
        <v>1.0000000822403709E-9</v>
      </c>
      <c r="W39" s="45">
        <f t="shared" si="16"/>
        <v>1.0000001644807486E-18</v>
      </c>
      <c r="X39" s="45">
        <f t="shared" si="17"/>
        <v>1.0000001644807486E-18</v>
      </c>
      <c r="Y39" s="45">
        <f t="shared" si="18"/>
        <v>1.0000001644807486E-18</v>
      </c>
      <c r="Z39" s="45"/>
      <c r="AA39" s="45">
        <f t="shared" si="4"/>
        <v>1</v>
      </c>
      <c r="AB39" s="45">
        <f t="shared" si="19"/>
        <v>1</v>
      </c>
      <c r="AC39" s="45">
        <f t="shared" si="20"/>
        <v>1.0000000822403709E-9</v>
      </c>
      <c r="AD39" s="45">
        <f t="shared" si="21"/>
        <v>1.0000000822403709E-9</v>
      </c>
      <c r="AE39" s="45">
        <f t="shared" si="22"/>
        <v>1.0000001644807486E-18</v>
      </c>
      <c r="AF39" s="45">
        <f t="shared" si="23"/>
        <v>1.0000001644807486E-18</v>
      </c>
      <c r="AG39" s="45">
        <f t="shared" si="24"/>
        <v>1.0000001644807486E-18</v>
      </c>
      <c r="AH39" s="45"/>
      <c r="AI39" s="45">
        <f t="shared" si="25"/>
        <v>1</v>
      </c>
      <c r="AJ39" s="45">
        <f t="shared" si="26"/>
        <v>1</v>
      </c>
      <c r="AK39" s="45">
        <f t="shared" si="27"/>
        <v>1.0000000822403709E-9</v>
      </c>
      <c r="AL39" s="45">
        <f t="shared" si="28"/>
        <v>1.0000000822403709E-9</v>
      </c>
      <c r="AM39" s="45">
        <f t="shared" si="29"/>
        <v>1.0000001644807486E-18</v>
      </c>
      <c r="AN39" s="45">
        <f t="shared" si="30"/>
        <v>1.0000001644807486E-18</v>
      </c>
      <c r="AO39" s="45">
        <f t="shared" si="31"/>
        <v>1.0000001644807486E-18</v>
      </c>
      <c r="AP39" s="45"/>
      <c r="AQ39" s="45">
        <f t="shared" si="32"/>
        <v>1</v>
      </c>
      <c r="AR39" s="45">
        <f t="shared" si="33"/>
        <v>1</v>
      </c>
      <c r="AS39" s="45">
        <f t="shared" si="34"/>
        <v>1.0000000822403709E-9</v>
      </c>
      <c r="AT39" s="45">
        <f t="shared" si="35"/>
        <v>1.0000000822403709E-9</v>
      </c>
      <c r="AU39" s="45">
        <f t="shared" si="36"/>
        <v>1.0000001644807486E-18</v>
      </c>
      <c r="AV39" s="45">
        <f t="shared" si="37"/>
        <v>1.0000001644807486E-18</v>
      </c>
      <c r="AW39" s="45">
        <f t="shared" si="38"/>
        <v>1.0000001644807486E-18</v>
      </c>
      <c r="AX39" s="45"/>
      <c r="AY39" s="45"/>
      <c r="AZ39" s="45"/>
      <c r="BA39" s="45" t="str">
        <f t="shared" si="39"/>
        <v/>
      </c>
      <c r="BB39" s="45" t="str">
        <f t="shared" si="40"/>
        <v/>
      </c>
      <c r="BC39" s="45" t="str">
        <f t="shared" si="41"/>
        <v/>
      </c>
      <c r="BD39" s="45" t="str">
        <f t="shared" si="42"/>
        <v/>
      </c>
      <c r="BE39" s="45" t="str">
        <f t="shared" si="5"/>
        <v/>
      </c>
      <c r="BF39" s="45" t="str">
        <f t="shared" si="6"/>
        <v/>
      </c>
      <c r="BG39" s="45" t="str">
        <f t="shared" si="43"/>
        <v/>
      </c>
      <c r="BH39" s="45"/>
      <c r="BI39" s="45">
        <f t="shared" si="51"/>
        <v>-20000</v>
      </c>
      <c r="BJ39" s="45">
        <f t="shared" si="44"/>
        <v>0.10731709395383104</v>
      </c>
      <c r="BK39" s="45">
        <f t="shared" si="45"/>
        <v>0.12021860531546985</v>
      </c>
      <c r="BL39" s="45">
        <f t="shared" si="46"/>
        <v>-2.1184434825408114</v>
      </c>
      <c r="BM39" s="45">
        <f t="shared" si="7"/>
        <v>42368.869650816225</v>
      </c>
      <c r="BN39" s="45">
        <f t="shared" si="8"/>
        <v>400000000</v>
      </c>
      <c r="BO39" s="45">
        <f t="shared" si="47"/>
        <v>4.487802788719641</v>
      </c>
      <c r="BP39" s="45"/>
      <c r="BQ39" s="45"/>
      <c r="BR39" s="50" t="str">
        <f>IF(B78="","",F39)</f>
        <v/>
      </c>
      <c r="BS39" s="50" t="str">
        <f>IF(B78="","",BJ39)</f>
        <v/>
      </c>
      <c r="BT39" s="50" t="str">
        <f t="shared" si="48"/>
        <v/>
      </c>
      <c r="BU39" s="50" t="str">
        <f t="shared" si="49"/>
        <v/>
      </c>
      <c r="BV39" s="50" t="str">
        <f t="shared" si="9"/>
        <v/>
      </c>
      <c r="BW39" s="50" t="str">
        <f t="shared" si="10"/>
        <v/>
      </c>
      <c r="BX39" s="50" t="str">
        <f t="shared" si="50"/>
        <v/>
      </c>
      <c r="BY39" s="45"/>
      <c r="BZ39" s="72"/>
      <c r="CA39" s="72"/>
      <c r="CB39" s="72"/>
      <c r="CC39" s="72"/>
      <c r="CD39" s="72"/>
      <c r="CE39" s="72"/>
      <c r="CF39" s="72"/>
      <c r="CG39" s="72"/>
      <c r="CH39" s="72"/>
      <c r="CI39" s="72"/>
      <c r="CJ39" s="72"/>
      <c r="CK39" s="70"/>
      <c r="CL39" s="70"/>
    </row>
    <row r="40" spans="1:90" x14ac:dyDescent="0.3">
      <c r="A40" s="48">
        <f>'EINGABEN EINZELWERTE'!B17</f>
        <v>0</v>
      </c>
      <c r="B40" s="45" t="str">
        <f t="shared" si="52"/>
        <v/>
      </c>
      <c r="C40" s="48">
        <f>IF((B40=""),MAX(B9:B108),B40)</f>
        <v>20000</v>
      </c>
      <c r="D40" s="45">
        <f>SMALL(C9:C108,32)</f>
        <v>20000</v>
      </c>
      <c r="E40" s="45">
        <f>LARGE(C9:C108,32)</f>
        <v>20000</v>
      </c>
      <c r="F40" s="49">
        <f>IF(Q6=1,D40,-E40)</f>
        <v>-20000</v>
      </c>
      <c r="G40" s="49">
        <f t="shared" si="0"/>
        <v>0.11251763361691523</v>
      </c>
      <c r="H40" s="49">
        <f t="shared" si="11"/>
        <v>0.10731709395383104</v>
      </c>
      <c r="I40" s="45"/>
      <c r="J40" s="45">
        <f>IF(Q6=1,D40,D40)</f>
        <v>20000</v>
      </c>
      <c r="K40" s="45">
        <f t="shared" si="12"/>
        <v>0.88748236638308475</v>
      </c>
      <c r="L40" s="45">
        <f t="shared" si="13"/>
        <v>0.89268290604616896</v>
      </c>
      <c r="M40" s="45">
        <f t="shared" si="1"/>
        <v>0.69871771847211805</v>
      </c>
      <c r="N40" s="48"/>
      <c r="O40" s="68"/>
      <c r="P40" s="67"/>
      <c r="Q40" s="68"/>
      <c r="R40" s="68"/>
      <c r="S40" s="45">
        <f t="shared" si="2"/>
        <v>1</v>
      </c>
      <c r="T40" s="45">
        <f t="shared" si="3"/>
        <v>1</v>
      </c>
      <c r="U40" s="48">
        <f t="shared" si="14"/>
        <v>1.0000000822403709E-9</v>
      </c>
      <c r="V40" s="48">
        <f t="shared" si="15"/>
        <v>1.0000000822403709E-9</v>
      </c>
      <c r="W40" s="45">
        <f t="shared" si="16"/>
        <v>1.0000001644807486E-18</v>
      </c>
      <c r="X40" s="45">
        <f t="shared" si="17"/>
        <v>1.0000001644807486E-18</v>
      </c>
      <c r="Y40" s="45">
        <f t="shared" si="18"/>
        <v>1.0000001644807486E-18</v>
      </c>
      <c r="Z40" s="45"/>
      <c r="AA40" s="45">
        <f t="shared" si="4"/>
        <v>1</v>
      </c>
      <c r="AB40" s="45">
        <f t="shared" si="19"/>
        <v>1</v>
      </c>
      <c r="AC40" s="45">
        <f t="shared" si="20"/>
        <v>1.0000000822403709E-9</v>
      </c>
      <c r="AD40" s="45">
        <f t="shared" si="21"/>
        <v>1.0000000822403709E-9</v>
      </c>
      <c r="AE40" s="45">
        <f t="shared" si="22"/>
        <v>1.0000001644807486E-18</v>
      </c>
      <c r="AF40" s="45">
        <f t="shared" si="23"/>
        <v>1.0000001644807486E-18</v>
      </c>
      <c r="AG40" s="45">
        <f t="shared" si="24"/>
        <v>1.0000001644807486E-18</v>
      </c>
      <c r="AH40" s="45"/>
      <c r="AI40" s="45">
        <f t="shared" si="25"/>
        <v>1</v>
      </c>
      <c r="AJ40" s="45">
        <f t="shared" si="26"/>
        <v>1</v>
      </c>
      <c r="AK40" s="45">
        <f t="shared" si="27"/>
        <v>1.0000000822403709E-9</v>
      </c>
      <c r="AL40" s="45">
        <f t="shared" si="28"/>
        <v>1.0000000822403709E-9</v>
      </c>
      <c r="AM40" s="45">
        <f t="shared" si="29"/>
        <v>1.0000001644807486E-18</v>
      </c>
      <c r="AN40" s="45">
        <f t="shared" si="30"/>
        <v>1.0000001644807486E-18</v>
      </c>
      <c r="AO40" s="45">
        <f t="shared" si="31"/>
        <v>1.0000001644807486E-18</v>
      </c>
      <c r="AP40" s="45"/>
      <c r="AQ40" s="45">
        <f t="shared" si="32"/>
        <v>1</v>
      </c>
      <c r="AR40" s="45">
        <f t="shared" si="33"/>
        <v>1</v>
      </c>
      <c r="AS40" s="45">
        <f t="shared" si="34"/>
        <v>1.0000000822403709E-9</v>
      </c>
      <c r="AT40" s="45">
        <f t="shared" si="35"/>
        <v>1.0000000822403709E-9</v>
      </c>
      <c r="AU40" s="45">
        <f t="shared" si="36"/>
        <v>1.0000001644807486E-18</v>
      </c>
      <c r="AV40" s="45">
        <f t="shared" si="37"/>
        <v>1.0000001644807486E-18</v>
      </c>
      <c r="AW40" s="45">
        <f t="shared" si="38"/>
        <v>1.0000001644807486E-18</v>
      </c>
      <c r="AX40" s="45"/>
      <c r="AY40" s="45"/>
      <c r="AZ40" s="45"/>
      <c r="BA40" s="45" t="str">
        <f t="shared" si="39"/>
        <v/>
      </c>
      <c r="BB40" s="45" t="str">
        <f t="shared" si="40"/>
        <v/>
      </c>
      <c r="BC40" s="45" t="str">
        <f t="shared" si="41"/>
        <v/>
      </c>
      <c r="BD40" s="45" t="str">
        <f t="shared" si="42"/>
        <v/>
      </c>
      <c r="BE40" s="45" t="str">
        <f t="shared" si="5"/>
        <v/>
      </c>
      <c r="BF40" s="45" t="str">
        <f t="shared" si="6"/>
        <v/>
      </c>
      <c r="BG40" s="45" t="str">
        <f t="shared" si="43"/>
        <v/>
      </c>
      <c r="BH40" s="45"/>
      <c r="BI40" s="45">
        <f t="shared" si="51"/>
        <v>-20000</v>
      </c>
      <c r="BJ40" s="45">
        <f t="shared" si="44"/>
        <v>0.10731709395383104</v>
      </c>
      <c r="BK40" s="45">
        <f t="shared" si="45"/>
        <v>0.12021860531546985</v>
      </c>
      <c r="BL40" s="45">
        <f t="shared" si="46"/>
        <v>-2.1184434825408114</v>
      </c>
      <c r="BM40" s="45">
        <f t="shared" si="7"/>
        <v>42368.869650816225</v>
      </c>
      <c r="BN40" s="45">
        <f t="shared" si="8"/>
        <v>400000000</v>
      </c>
      <c r="BO40" s="45">
        <f t="shared" si="47"/>
        <v>4.487802788719641</v>
      </c>
      <c r="BP40" s="45"/>
      <c r="BQ40" s="45"/>
      <c r="BR40" s="50" t="str">
        <f>IF(B77="","",F40)</f>
        <v/>
      </c>
      <c r="BS40" s="50" t="str">
        <f>IF(B77="","",BJ40)</f>
        <v/>
      </c>
      <c r="BT40" s="50" t="str">
        <f t="shared" si="48"/>
        <v/>
      </c>
      <c r="BU40" s="50" t="str">
        <f t="shared" si="49"/>
        <v/>
      </c>
      <c r="BV40" s="50" t="str">
        <f t="shared" si="9"/>
        <v/>
      </c>
      <c r="BW40" s="50" t="str">
        <f t="shared" si="10"/>
        <v/>
      </c>
      <c r="BX40" s="50" t="str">
        <f t="shared" si="50"/>
        <v/>
      </c>
      <c r="BY40" s="45"/>
      <c r="BZ40" s="72"/>
      <c r="CA40" s="72"/>
      <c r="CB40" s="72"/>
      <c r="CC40" s="72"/>
      <c r="CD40" s="72"/>
      <c r="CE40" s="72"/>
      <c r="CF40" s="72"/>
      <c r="CG40" s="72"/>
      <c r="CH40" s="72"/>
      <c r="CI40" s="72"/>
      <c r="CJ40" s="72"/>
      <c r="CK40" s="70"/>
      <c r="CL40" s="70"/>
    </row>
    <row r="41" spans="1:90" x14ac:dyDescent="0.3">
      <c r="A41" s="48">
        <f>'EINGABEN EINZELWERTE'!B18</f>
        <v>0</v>
      </c>
      <c r="B41" s="45" t="str">
        <f t="shared" si="52"/>
        <v/>
      </c>
      <c r="C41" s="48">
        <f>IF((B41=""),MAX(B9:B108),B41)</f>
        <v>20000</v>
      </c>
      <c r="D41" s="45">
        <f>SMALL(C9:C108,33)</f>
        <v>20000</v>
      </c>
      <c r="E41" s="45">
        <f>LARGE(C9:C108,33)</f>
        <v>20000</v>
      </c>
      <c r="F41" s="49">
        <f>IF(Q6=1,D41,-E41)</f>
        <v>-20000</v>
      </c>
      <c r="G41" s="49">
        <f t="shared" ref="G41:G72" si="53">_xlfn.NORM.DIST(F41,$F$109,$F$110,1)</f>
        <v>0.11251763361691523</v>
      </c>
      <c r="H41" s="49">
        <f t="shared" si="11"/>
        <v>0.10731709395383104</v>
      </c>
      <c r="I41" s="45"/>
      <c r="J41" s="45">
        <f>IF(Q6=1,D41,D41)</f>
        <v>20000</v>
      </c>
      <c r="K41" s="45">
        <f t="shared" si="12"/>
        <v>0.88748236638308475</v>
      </c>
      <c r="L41" s="45">
        <f t="shared" si="13"/>
        <v>0.89268290604616896</v>
      </c>
      <c r="M41" s="45">
        <f t="shared" ref="M41:M72" si="54">_xlfn.NORM.DIST(J41,$K$112,$K$110,1)</f>
        <v>0.69871771847211805</v>
      </c>
      <c r="N41" s="48"/>
      <c r="O41" s="68"/>
      <c r="P41" s="67"/>
      <c r="Q41" s="68"/>
      <c r="R41" s="68"/>
      <c r="S41" s="45">
        <f t="shared" ref="S41:S72" si="55">IF(B41="",1,G41)</f>
        <v>1</v>
      </c>
      <c r="T41" s="45">
        <f t="shared" ref="T41:T72" si="56">IF(B41="",1,H41)</f>
        <v>1</v>
      </c>
      <c r="U41" s="48">
        <f t="shared" si="14"/>
        <v>1.0000000822403709E-9</v>
      </c>
      <c r="V41" s="48">
        <f t="shared" si="15"/>
        <v>1.0000000822403709E-9</v>
      </c>
      <c r="W41" s="45">
        <f t="shared" si="16"/>
        <v>1.0000001644807486E-18</v>
      </c>
      <c r="X41" s="45">
        <f t="shared" si="17"/>
        <v>1.0000001644807486E-18</v>
      </c>
      <c r="Y41" s="45">
        <f t="shared" si="18"/>
        <v>1.0000001644807486E-18</v>
      </c>
      <c r="Z41" s="45"/>
      <c r="AA41" s="45">
        <f t="shared" ref="AA41:AA72" si="57">IF(B41="",1,G41)</f>
        <v>1</v>
      </c>
      <c r="AB41" s="45">
        <f t="shared" si="19"/>
        <v>1</v>
      </c>
      <c r="AC41" s="45">
        <f t="shared" si="20"/>
        <v>1.0000000822403709E-9</v>
      </c>
      <c r="AD41" s="45">
        <f t="shared" si="21"/>
        <v>1.0000000822403709E-9</v>
      </c>
      <c r="AE41" s="45">
        <f t="shared" si="22"/>
        <v>1.0000001644807486E-18</v>
      </c>
      <c r="AF41" s="45">
        <f t="shared" si="23"/>
        <v>1.0000001644807486E-18</v>
      </c>
      <c r="AG41" s="45">
        <f t="shared" si="24"/>
        <v>1.0000001644807486E-18</v>
      </c>
      <c r="AH41" s="45"/>
      <c r="AI41" s="45">
        <f t="shared" si="25"/>
        <v>1</v>
      </c>
      <c r="AJ41" s="45">
        <f t="shared" si="26"/>
        <v>1</v>
      </c>
      <c r="AK41" s="45">
        <f t="shared" si="27"/>
        <v>1.0000000822403709E-9</v>
      </c>
      <c r="AL41" s="45">
        <f t="shared" si="28"/>
        <v>1.0000000822403709E-9</v>
      </c>
      <c r="AM41" s="45">
        <f t="shared" si="29"/>
        <v>1.0000001644807486E-18</v>
      </c>
      <c r="AN41" s="45">
        <f t="shared" si="30"/>
        <v>1.0000001644807486E-18</v>
      </c>
      <c r="AO41" s="45">
        <f t="shared" si="31"/>
        <v>1.0000001644807486E-18</v>
      </c>
      <c r="AP41" s="45"/>
      <c r="AQ41" s="45">
        <f t="shared" si="32"/>
        <v>1</v>
      </c>
      <c r="AR41" s="45">
        <f t="shared" si="33"/>
        <v>1</v>
      </c>
      <c r="AS41" s="45">
        <f t="shared" si="34"/>
        <v>1.0000000822403709E-9</v>
      </c>
      <c r="AT41" s="45">
        <f t="shared" si="35"/>
        <v>1.0000000822403709E-9</v>
      </c>
      <c r="AU41" s="45">
        <f t="shared" si="36"/>
        <v>1.0000001644807486E-18</v>
      </c>
      <c r="AV41" s="45">
        <f t="shared" si="37"/>
        <v>1.0000001644807486E-18</v>
      </c>
      <c r="AW41" s="45">
        <f t="shared" si="38"/>
        <v>1.0000001644807486E-18</v>
      </c>
      <c r="AX41" s="45"/>
      <c r="AY41" s="45"/>
      <c r="AZ41" s="45"/>
      <c r="BA41" s="45" t="str">
        <f t="shared" si="39"/>
        <v/>
      </c>
      <c r="BB41" s="45" t="str">
        <f t="shared" si="40"/>
        <v/>
      </c>
      <c r="BC41" s="45" t="str">
        <f t="shared" si="41"/>
        <v/>
      </c>
      <c r="BD41" s="45" t="str">
        <f t="shared" si="42"/>
        <v/>
      </c>
      <c r="BE41" s="45" t="str">
        <f t="shared" ref="BE41:BE72" si="58">IF(BA41="","",(BA41*BD41))</f>
        <v/>
      </c>
      <c r="BF41" s="45" t="str">
        <f t="shared" ref="BF41:BF72" si="59">IF(BA41="","",(BA41^2))</f>
        <v/>
      </c>
      <c r="BG41" s="45" t="str">
        <f t="shared" si="43"/>
        <v/>
      </c>
      <c r="BH41" s="45"/>
      <c r="BI41" s="45">
        <f t="shared" si="51"/>
        <v>-20000</v>
      </c>
      <c r="BJ41" s="45">
        <f t="shared" si="44"/>
        <v>0.10731709395383104</v>
      </c>
      <c r="BK41" s="45">
        <f t="shared" si="45"/>
        <v>0.12021860531546985</v>
      </c>
      <c r="BL41" s="45">
        <f t="shared" si="46"/>
        <v>-2.1184434825408114</v>
      </c>
      <c r="BM41" s="45">
        <f t="shared" ref="BM41:BM72" si="60">IF(BI41="","",(BI41*BL41))</f>
        <v>42368.869650816225</v>
      </c>
      <c r="BN41" s="45">
        <f t="shared" ref="BN41:BN72" si="61">IF(BI41="","",(BI41^2))</f>
        <v>400000000</v>
      </c>
      <c r="BO41" s="45">
        <f t="shared" si="47"/>
        <v>4.487802788719641</v>
      </c>
      <c r="BP41" s="45"/>
      <c r="BQ41" s="45"/>
      <c r="BR41" s="50" t="str">
        <f>IF(B76="","",F41)</f>
        <v/>
      </c>
      <c r="BS41" s="50" t="str">
        <f>IF(B76="","",BJ41)</f>
        <v/>
      </c>
      <c r="BT41" s="50" t="str">
        <f t="shared" si="48"/>
        <v/>
      </c>
      <c r="BU41" s="50" t="str">
        <f t="shared" si="49"/>
        <v/>
      </c>
      <c r="BV41" s="50" t="str">
        <f t="shared" si="9"/>
        <v/>
      </c>
      <c r="BW41" s="50" t="str">
        <f t="shared" si="10"/>
        <v/>
      </c>
      <c r="BX41" s="50" t="str">
        <f t="shared" si="50"/>
        <v/>
      </c>
      <c r="BY41" s="45"/>
      <c r="BZ41" s="72"/>
      <c r="CA41" s="72"/>
      <c r="CB41" s="72"/>
      <c r="CC41" s="72"/>
      <c r="CD41" s="72"/>
      <c r="CE41" s="72"/>
      <c r="CF41" s="72"/>
      <c r="CG41" s="72"/>
      <c r="CH41" s="72"/>
      <c r="CI41" s="72"/>
      <c r="CJ41" s="72"/>
      <c r="CK41" s="70"/>
      <c r="CL41" s="70"/>
    </row>
    <row r="42" spans="1:90" x14ac:dyDescent="0.3">
      <c r="A42" s="48">
        <f>'EINGABEN EINZELWERTE'!B19</f>
        <v>0</v>
      </c>
      <c r="B42" s="45" t="str">
        <f t="shared" si="52"/>
        <v/>
      </c>
      <c r="C42" s="48">
        <f>IF((B42=""),MAX(B9:B108),B42)</f>
        <v>20000</v>
      </c>
      <c r="D42" s="45">
        <f>SMALL(C9:C108,34)</f>
        <v>20000</v>
      </c>
      <c r="E42" s="45">
        <f>LARGE(C9:C108,34)</f>
        <v>20000</v>
      </c>
      <c r="F42" s="49">
        <f>IF(Q6=1,D42,-E42)</f>
        <v>-20000</v>
      </c>
      <c r="G42" s="49">
        <f t="shared" si="53"/>
        <v>0.11251763361691523</v>
      </c>
      <c r="H42" s="49">
        <f t="shared" si="11"/>
        <v>0.10731709395383104</v>
      </c>
      <c r="I42" s="45"/>
      <c r="J42" s="45">
        <f>IF(Q36=1,D42,D42)</f>
        <v>20000</v>
      </c>
      <c r="K42" s="45">
        <f t="shared" si="12"/>
        <v>0.88748236638308475</v>
      </c>
      <c r="L42" s="45">
        <f t="shared" si="13"/>
        <v>0.89268290604616896</v>
      </c>
      <c r="M42" s="45">
        <f t="shared" si="54"/>
        <v>0.69871771847211805</v>
      </c>
      <c r="N42" s="48"/>
      <c r="O42" s="68"/>
      <c r="P42" s="67"/>
      <c r="Q42" s="68"/>
      <c r="R42" s="68"/>
      <c r="S42" s="45">
        <f t="shared" si="55"/>
        <v>1</v>
      </c>
      <c r="T42" s="45">
        <f t="shared" si="56"/>
        <v>1</v>
      </c>
      <c r="U42" s="48">
        <f t="shared" si="14"/>
        <v>1.0000000822403709E-9</v>
      </c>
      <c r="V42" s="48">
        <f t="shared" si="15"/>
        <v>1.0000000822403709E-9</v>
      </c>
      <c r="W42" s="45">
        <f t="shared" si="16"/>
        <v>1.0000001644807486E-18</v>
      </c>
      <c r="X42" s="45">
        <f t="shared" si="17"/>
        <v>1.0000001644807486E-18</v>
      </c>
      <c r="Y42" s="45">
        <f t="shared" si="18"/>
        <v>1.0000001644807486E-18</v>
      </c>
      <c r="Z42" s="45"/>
      <c r="AA42" s="45">
        <f t="shared" si="57"/>
        <v>1</v>
      </c>
      <c r="AB42" s="45">
        <f t="shared" si="19"/>
        <v>1</v>
      </c>
      <c r="AC42" s="45">
        <f t="shared" si="20"/>
        <v>1.0000000822403709E-9</v>
      </c>
      <c r="AD42" s="45">
        <f t="shared" si="21"/>
        <v>1.0000000822403709E-9</v>
      </c>
      <c r="AE42" s="45">
        <f t="shared" si="22"/>
        <v>1.0000001644807486E-18</v>
      </c>
      <c r="AF42" s="45">
        <f t="shared" si="23"/>
        <v>1.0000001644807486E-18</v>
      </c>
      <c r="AG42" s="45">
        <f t="shared" si="24"/>
        <v>1.0000001644807486E-18</v>
      </c>
      <c r="AH42" s="45"/>
      <c r="AI42" s="45">
        <f t="shared" si="25"/>
        <v>1</v>
      </c>
      <c r="AJ42" s="45">
        <f t="shared" si="26"/>
        <v>1</v>
      </c>
      <c r="AK42" s="45">
        <f t="shared" si="27"/>
        <v>1.0000000822403709E-9</v>
      </c>
      <c r="AL42" s="45">
        <f t="shared" si="28"/>
        <v>1.0000000822403709E-9</v>
      </c>
      <c r="AM42" s="45">
        <f t="shared" si="29"/>
        <v>1.0000001644807486E-18</v>
      </c>
      <c r="AN42" s="45">
        <f t="shared" si="30"/>
        <v>1.0000001644807486E-18</v>
      </c>
      <c r="AO42" s="45">
        <f t="shared" si="31"/>
        <v>1.0000001644807486E-18</v>
      </c>
      <c r="AP42" s="45"/>
      <c r="AQ42" s="45">
        <f t="shared" si="32"/>
        <v>1</v>
      </c>
      <c r="AR42" s="45">
        <f t="shared" si="33"/>
        <v>1</v>
      </c>
      <c r="AS42" s="45">
        <f t="shared" si="34"/>
        <v>1.0000000822403709E-9</v>
      </c>
      <c r="AT42" s="45">
        <f t="shared" si="35"/>
        <v>1.0000000822403709E-9</v>
      </c>
      <c r="AU42" s="45">
        <f t="shared" si="36"/>
        <v>1.0000001644807486E-18</v>
      </c>
      <c r="AV42" s="45">
        <f t="shared" si="37"/>
        <v>1.0000001644807486E-18</v>
      </c>
      <c r="AW42" s="45">
        <f t="shared" si="38"/>
        <v>1.0000001644807486E-18</v>
      </c>
      <c r="AX42" s="45"/>
      <c r="AY42" s="45"/>
      <c r="AZ42" s="45"/>
      <c r="BA42" s="45" t="str">
        <f t="shared" si="39"/>
        <v/>
      </c>
      <c r="BB42" s="45" t="str">
        <f t="shared" si="40"/>
        <v/>
      </c>
      <c r="BC42" s="45" t="str">
        <f t="shared" si="41"/>
        <v/>
      </c>
      <c r="BD42" s="45" t="str">
        <f t="shared" si="42"/>
        <v/>
      </c>
      <c r="BE42" s="45" t="str">
        <f t="shared" si="58"/>
        <v/>
      </c>
      <c r="BF42" s="45" t="str">
        <f t="shared" si="59"/>
        <v/>
      </c>
      <c r="BG42" s="45" t="str">
        <f t="shared" si="43"/>
        <v/>
      </c>
      <c r="BH42" s="45"/>
      <c r="BI42" s="45">
        <f t="shared" si="51"/>
        <v>-20000</v>
      </c>
      <c r="BJ42" s="45">
        <f t="shared" si="44"/>
        <v>0.10731709395383104</v>
      </c>
      <c r="BK42" s="45">
        <f t="shared" si="45"/>
        <v>0.12021860531546985</v>
      </c>
      <c r="BL42" s="45">
        <f t="shared" si="46"/>
        <v>-2.1184434825408114</v>
      </c>
      <c r="BM42" s="45">
        <f t="shared" si="60"/>
        <v>42368.869650816225</v>
      </c>
      <c r="BN42" s="45">
        <f t="shared" si="61"/>
        <v>400000000</v>
      </c>
      <c r="BO42" s="45">
        <f t="shared" si="47"/>
        <v>4.487802788719641</v>
      </c>
      <c r="BP42" s="45"/>
      <c r="BQ42" s="45"/>
      <c r="BR42" s="50" t="str">
        <f>IF(B75="","",F42)</f>
        <v/>
      </c>
      <c r="BS42" s="50" t="str">
        <f>IF(B75="","",BJ42)</f>
        <v/>
      </c>
      <c r="BT42" s="50" t="str">
        <f t="shared" si="48"/>
        <v/>
      </c>
      <c r="BU42" s="50" t="str">
        <f t="shared" si="49"/>
        <v/>
      </c>
      <c r="BV42" s="50" t="str">
        <f t="shared" si="9"/>
        <v/>
      </c>
      <c r="BW42" s="50" t="str">
        <f t="shared" si="10"/>
        <v/>
      </c>
      <c r="BX42" s="50" t="str">
        <f t="shared" si="50"/>
        <v/>
      </c>
      <c r="BY42" s="45"/>
      <c r="BZ42" s="72"/>
      <c r="CA42" s="72"/>
      <c r="CB42" s="72"/>
      <c r="CC42" s="72"/>
      <c r="CD42" s="72"/>
      <c r="CE42" s="72"/>
      <c r="CF42" s="72"/>
      <c r="CG42" s="72"/>
      <c r="CH42" s="72"/>
      <c r="CI42" s="72"/>
      <c r="CJ42" s="72"/>
      <c r="CK42" s="70"/>
      <c r="CL42" s="70"/>
    </row>
    <row r="43" spans="1:90" x14ac:dyDescent="0.3">
      <c r="A43" s="48">
        <f>'EINGABEN EINZELWERTE'!B20</f>
        <v>0</v>
      </c>
      <c r="B43" s="45" t="str">
        <f t="shared" si="52"/>
        <v/>
      </c>
      <c r="C43" s="48">
        <f>IF((B43=""),MAX(B9:B108),B43)</f>
        <v>20000</v>
      </c>
      <c r="D43" s="45">
        <f>SMALL(C9:C108,35)</f>
        <v>20000</v>
      </c>
      <c r="E43" s="45">
        <f>LARGE(C9:C108,35)</f>
        <v>20000</v>
      </c>
      <c r="F43" s="49">
        <f>IF(Q6=1,D43,-E43)</f>
        <v>-20000</v>
      </c>
      <c r="G43" s="49">
        <f t="shared" si="53"/>
        <v>0.11251763361691523</v>
      </c>
      <c r="H43" s="49">
        <f t="shared" si="11"/>
        <v>0.10731709395383104</v>
      </c>
      <c r="I43" s="45"/>
      <c r="J43" s="45">
        <f>IF(Q6=1,D43,D43)</f>
        <v>20000</v>
      </c>
      <c r="K43" s="45">
        <f t="shared" si="12"/>
        <v>0.88748236638308475</v>
      </c>
      <c r="L43" s="45">
        <f t="shared" si="13"/>
        <v>0.89268290604616896</v>
      </c>
      <c r="M43" s="45">
        <f t="shared" si="54"/>
        <v>0.69871771847211805</v>
      </c>
      <c r="N43" s="48"/>
      <c r="O43" s="68"/>
      <c r="P43" s="67"/>
      <c r="Q43" s="68"/>
      <c r="R43" s="68"/>
      <c r="S43" s="45">
        <f t="shared" si="55"/>
        <v>1</v>
      </c>
      <c r="T43" s="45">
        <f t="shared" si="56"/>
        <v>1</v>
      </c>
      <c r="U43" s="48">
        <f t="shared" si="14"/>
        <v>1.0000000822403709E-9</v>
      </c>
      <c r="V43" s="48">
        <f t="shared" si="15"/>
        <v>1.0000000822403709E-9</v>
      </c>
      <c r="W43" s="45">
        <f t="shared" si="16"/>
        <v>1.0000001644807486E-18</v>
      </c>
      <c r="X43" s="45">
        <f t="shared" si="17"/>
        <v>1.0000001644807486E-18</v>
      </c>
      <c r="Y43" s="45">
        <f t="shared" si="18"/>
        <v>1.0000001644807486E-18</v>
      </c>
      <c r="Z43" s="45"/>
      <c r="AA43" s="45">
        <f t="shared" si="57"/>
        <v>1</v>
      </c>
      <c r="AB43" s="45">
        <f t="shared" si="19"/>
        <v>1</v>
      </c>
      <c r="AC43" s="45">
        <f t="shared" si="20"/>
        <v>1.0000000822403709E-9</v>
      </c>
      <c r="AD43" s="45">
        <f t="shared" si="21"/>
        <v>1.0000000822403709E-9</v>
      </c>
      <c r="AE43" s="45">
        <f t="shared" si="22"/>
        <v>1.0000001644807486E-18</v>
      </c>
      <c r="AF43" s="45">
        <f t="shared" si="23"/>
        <v>1.0000001644807486E-18</v>
      </c>
      <c r="AG43" s="45">
        <f t="shared" si="24"/>
        <v>1.0000001644807486E-18</v>
      </c>
      <c r="AH43" s="45"/>
      <c r="AI43" s="45">
        <f t="shared" si="25"/>
        <v>1</v>
      </c>
      <c r="AJ43" s="45">
        <f t="shared" si="26"/>
        <v>1</v>
      </c>
      <c r="AK43" s="45">
        <f t="shared" si="27"/>
        <v>1.0000000822403709E-9</v>
      </c>
      <c r="AL43" s="45">
        <f t="shared" si="28"/>
        <v>1.0000000822403709E-9</v>
      </c>
      <c r="AM43" s="45">
        <f t="shared" si="29"/>
        <v>1.0000001644807486E-18</v>
      </c>
      <c r="AN43" s="45">
        <f t="shared" si="30"/>
        <v>1.0000001644807486E-18</v>
      </c>
      <c r="AO43" s="45">
        <f t="shared" si="31"/>
        <v>1.0000001644807486E-18</v>
      </c>
      <c r="AP43" s="45"/>
      <c r="AQ43" s="45">
        <f t="shared" si="32"/>
        <v>1</v>
      </c>
      <c r="AR43" s="45">
        <f t="shared" si="33"/>
        <v>1</v>
      </c>
      <c r="AS43" s="45">
        <f t="shared" si="34"/>
        <v>1.0000000822403709E-9</v>
      </c>
      <c r="AT43" s="45">
        <f t="shared" si="35"/>
        <v>1.0000000822403709E-9</v>
      </c>
      <c r="AU43" s="45">
        <f t="shared" si="36"/>
        <v>1.0000001644807486E-18</v>
      </c>
      <c r="AV43" s="45">
        <f t="shared" si="37"/>
        <v>1.0000001644807486E-18</v>
      </c>
      <c r="AW43" s="45">
        <f t="shared" si="38"/>
        <v>1.0000001644807486E-18</v>
      </c>
      <c r="AX43" s="45"/>
      <c r="AY43" s="45"/>
      <c r="AZ43" s="45"/>
      <c r="BA43" s="45" t="str">
        <f t="shared" si="39"/>
        <v/>
      </c>
      <c r="BB43" s="45" t="str">
        <f t="shared" si="40"/>
        <v/>
      </c>
      <c r="BC43" s="45" t="str">
        <f t="shared" si="41"/>
        <v/>
      </c>
      <c r="BD43" s="45" t="str">
        <f t="shared" si="42"/>
        <v/>
      </c>
      <c r="BE43" s="45" t="str">
        <f t="shared" si="58"/>
        <v/>
      </c>
      <c r="BF43" s="45" t="str">
        <f t="shared" si="59"/>
        <v/>
      </c>
      <c r="BG43" s="45" t="str">
        <f t="shared" si="43"/>
        <v/>
      </c>
      <c r="BH43" s="45"/>
      <c r="BI43" s="45">
        <f t="shared" si="51"/>
        <v>-20000</v>
      </c>
      <c r="BJ43" s="45">
        <f t="shared" si="44"/>
        <v>0.10731709395383104</v>
      </c>
      <c r="BK43" s="45">
        <f t="shared" si="45"/>
        <v>0.12021860531546985</v>
      </c>
      <c r="BL43" s="45">
        <f t="shared" si="46"/>
        <v>-2.1184434825408114</v>
      </c>
      <c r="BM43" s="45">
        <f t="shared" si="60"/>
        <v>42368.869650816225</v>
      </c>
      <c r="BN43" s="45">
        <f t="shared" si="61"/>
        <v>400000000</v>
      </c>
      <c r="BO43" s="45">
        <f t="shared" si="47"/>
        <v>4.487802788719641</v>
      </c>
      <c r="BP43" s="45"/>
      <c r="BQ43" s="45"/>
      <c r="BR43" s="50" t="str">
        <f>IF(B74="","",F43)</f>
        <v/>
      </c>
      <c r="BS43" s="50" t="str">
        <f>IF(B74="","",BJ43)</f>
        <v/>
      </c>
      <c r="BT43" s="50" t="str">
        <f t="shared" si="48"/>
        <v/>
      </c>
      <c r="BU43" s="50" t="str">
        <f t="shared" si="49"/>
        <v/>
      </c>
      <c r="BV43" s="50" t="str">
        <f t="shared" si="9"/>
        <v/>
      </c>
      <c r="BW43" s="50" t="str">
        <f t="shared" si="10"/>
        <v/>
      </c>
      <c r="BX43" s="50" t="str">
        <f t="shared" si="50"/>
        <v/>
      </c>
      <c r="BY43" s="45"/>
      <c r="BZ43" s="72"/>
      <c r="CA43" s="72"/>
      <c r="CB43" s="72"/>
      <c r="CC43" s="72"/>
      <c r="CD43" s="72"/>
      <c r="CE43" s="72"/>
      <c r="CF43" s="72"/>
      <c r="CG43" s="72"/>
      <c r="CH43" s="72"/>
      <c r="CI43" s="72"/>
      <c r="CJ43" s="72"/>
      <c r="CK43" s="70"/>
      <c r="CL43" s="70"/>
    </row>
    <row r="44" spans="1:90" x14ac:dyDescent="0.3">
      <c r="A44" s="48">
        <f>'EINGABEN EINZELWERTE'!B21</f>
        <v>0</v>
      </c>
      <c r="B44" s="45" t="str">
        <f t="shared" si="52"/>
        <v/>
      </c>
      <c r="C44" s="48">
        <f>IF((B44=""),MAX(B9:B108),B44)</f>
        <v>20000</v>
      </c>
      <c r="D44" s="45">
        <f>SMALL(C9:C108,36)</f>
        <v>20000</v>
      </c>
      <c r="E44" s="45">
        <f>LARGE(C9:C108,36)</f>
        <v>20000</v>
      </c>
      <c r="F44" s="49">
        <f>IF(Q6=1,D44,-E44)</f>
        <v>-20000</v>
      </c>
      <c r="G44" s="49">
        <f t="shared" si="53"/>
        <v>0.11251763361691523</v>
      </c>
      <c r="H44" s="49">
        <f t="shared" si="11"/>
        <v>0.10731709395383104</v>
      </c>
      <c r="I44" s="45"/>
      <c r="J44" s="45">
        <f>IF(Q6=1,D44,D44)</f>
        <v>20000</v>
      </c>
      <c r="K44" s="45">
        <f t="shared" si="12"/>
        <v>0.88748236638308475</v>
      </c>
      <c r="L44" s="45">
        <f t="shared" si="13"/>
        <v>0.89268290604616896</v>
      </c>
      <c r="M44" s="45">
        <f t="shared" si="54"/>
        <v>0.69871771847211805</v>
      </c>
      <c r="N44" s="48"/>
      <c r="O44" s="68"/>
      <c r="P44" s="67"/>
      <c r="Q44" s="68"/>
      <c r="R44" s="68"/>
      <c r="S44" s="45">
        <f t="shared" si="55"/>
        <v>1</v>
      </c>
      <c r="T44" s="45">
        <f t="shared" si="56"/>
        <v>1</v>
      </c>
      <c r="U44" s="48">
        <f t="shared" si="14"/>
        <v>1.0000000822403709E-9</v>
      </c>
      <c r="V44" s="48">
        <f t="shared" si="15"/>
        <v>1.0000000822403709E-9</v>
      </c>
      <c r="W44" s="45">
        <f t="shared" si="16"/>
        <v>1.0000001644807486E-18</v>
      </c>
      <c r="X44" s="45">
        <f t="shared" si="17"/>
        <v>1.0000001644807486E-18</v>
      </c>
      <c r="Y44" s="45">
        <f t="shared" si="18"/>
        <v>1.0000001644807486E-18</v>
      </c>
      <c r="Z44" s="45"/>
      <c r="AA44" s="45">
        <f t="shared" si="57"/>
        <v>1</v>
      </c>
      <c r="AB44" s="45">
        <f t="shared" si="19"/>
        <v>1</v>
      </c>
      <c r="AC44" s="45">
        <f t="shared" si="20"/>
        <v>1.0000000822403709E-9</v>
      </c>
      <c r="AD44" s="45">
        <f t="shared" si="21"/>
        <v>1.0000000822403709E-9</v>
      </c>
      <c r="AE44" s="45">
        <f t="shared" si="22"/>
        <v>1.0000001644807486E-18</v>
      </c>
      <c r="AF44" s="45">
        <f t="shared" si="23"/>
        <v>1.0000001644807486E-18</v>
      </c>
      <c r="AG44" s="45">
        <f t="shared" si="24"/>
        <v>1.0000001644807486E-18</v>
      </c>
      <c r="AH44" s="45"/>
      <c r="AI44" s="45">
        <f t="shared" si="25"/>
        <v>1</v>
      </c>
      <c r="AJ44" s="45">
        <f t="shared" si="26"/>
        <v>1</v>
      </c>
      <c r="AK44" s="45">
        <f t="shared" si="27"/>
        <v>1.0000000822403709E-9</v>
      </c>
      <c r="AL44" s="45">
        <f t="shared" si="28"/>
        <v>1.0000000822403709E-9</v>
      </c>
      <c r="AM44" s="45">
        <f t="shared" si="29"/>
        <v>1.0000001644807486E-18</v>
      </c>
      <c r="AN44" s="45">
        <f t="shared" si="30"/>
        <v>1.0000001644807486E-18</v>
      </c>
      <c r="AO44" s="45">
        <f t="shared" si="31"/>
        <v>1.0000001644807486E-18</v>
      </c>
      <c r="AP44" s="45"/>
      <c r="AQ44" s="45">
        <f t="shared" si="32"/>
        <v>1</v>
      </c>
      <c r="AR44" s="45">
        <f t="shared" si="33"/>
        <v>1</v>
      </c>
      <c r="AS44" s="45">
        <f t="shared" si="34"/>
        <v>1.0000000822403709E-9</v>
      </c>
      <c r="AT44" s="45">
        <f t="shared" si="35"/>
        <v>1.0000000822403709E-9</v>
      </c>
      <c r="AU44" s="45">
        <f t="shared" si="36"/>
        <v>1.0000001644807486E-18</v>
      </c>
      <c r="AV44" s="45">
        <f t="shared" si="37"/>
        <v>1.0000001644807486E-18</v>
      </c>
      <c r="AW44" s="45">
        <f t="shared" si="38"/>
        <v>1.0000001644807486E-18</v>
      </c>
      <c r="AX44" s="45"/>
      <c r="AY44" s="45"/>
      <c r="AZ44" s="45"/>
      <c r="BA44" s="45" t="str">
        <f t="shared" si="39"/>
        <v/>
      </c>
      <c r="BB44" s="45" t="str">
        <f t="shared" si="40"/>
        <v/>
      </c>
      <c r="BC44" s="45" t="str">
        <f t="shared" si="41"/>
        <v/>
      </c>
      <c r="BD44" s="45" t="str">
        <f t="shared" si="42"/>
        <v/>
      </c>
      <c r="BE44" s="45" t="str">
        <f t="shared" si="58"/>
        <v/>
      </c>
      <c r="BF44" s="45" t="str">
        <f t="shared" si="59"/>
        <v/>
      </c>
      <c r="BG44" s="45" t="str">
        <f t="shared" si="43"/>
        <v/>
      </c>
      <c r="BH44" s="45"/>
      <c r="BI44" s="45">
        <f t="shared" si="51"/>
        <v>-20000</v>
      </c>
      <c r="BJ44" s="45">
        <f t="shared" si="44"/>
        <v>0.10731709395383104</v>
      </c>
      <c r="BK44" s="45">
        <f t="shared" si="45"/>
        <v>0.12021860531546985</v>
      </c>
      <c r="BL44" s="45">
        <f t="shared" si="46"/>
        <v>-2.1184434825408114</v>
      </c>
      <c r="BM44" s="45">
        <f t="shared" si="60"/>
        <v>42368.869650816225</v>
      </c>
      <c r="BN44" s="45">
        <f t="shared" si="61"/>
        <v>400000000</v>
      </c>
      <c r="BO44" s="45">
        <f t="shared" si="47"/>
        <v>4.487802788719641</v>
      </c>
      <c r="BP44" s="45"/>
      <c r="BQ44" s="45"/>
      <c r="BR44" s="50" t="str">
        <f>IF(B73="","",F44)</f>
        <v/>
      </c>
      <c r="BS44" s="50" t="str">
        <f>IF(B73="","",BJ44)</f>
        <v/>
      </c>
      <c r="BT44" s="50" t="str">
        <f t="shared" si="48"/>
        <v/>
      </c>
      <c r="BU44" s="50" t="str">
        <f t="shared" si="49"/>
        <v/>
      </c>
      <c r="BV44" s="50" t="str">
        <f t="shared" si="9"/>
        <v/>
      </c>
      <c r="BW44" s="50" t="str">
        <f t="shared" si="10"/>
        <v/>
      </c>
      <c r="BX44" s="50" t="str">
        <f t="shared" si="50"/>
        <v/>
      </c>
      <c r="BY44" s="45"/>
      <c r="BZ44" s="72"/>
      <c r="CA44" s="72"/>
      <c r="CB44" s="72"/>
      <c r="CC44" s="72"/>
      <c r="CD44" s="72"/>
      <c r="CE44" s="72"/>
      <c r="CF44" s="72"/>
      <c r="CG44" s="72"/>
      <c r="CH44" s="72"/>
      <c r="CI44" s="72"/>
      <c r="CJ44" s="72"/>
      <c r="CK44" s="70"/>
      <c r="CL44" s="70"/>
    </row>
    <row r="45" spans="1:90" x14ac:dyDescent="0.3">
      <c r="A45" s="48">
        <f>'EINGABEN EINZELWERTE'!B22</f>
        <v>0</v>
      </c>
      <c r="B45" s="45" t="str">
        <f t="shared" si="52"/>
        <v/>
      </c>
      <c r="C45" s="48">
        <f>IF((B45=""),MAX(B9:B108),B45)</f>
        <v>20000</v>
      </c>
      <c r="D45" s="45">
        <f>SMALL(C9:C108,37)</f>
        <v>20000</v>
      </c>
      <c r="E45" s="45">
        <f>LARGE(C9:C108,37)</f>
        <v>20000</v>
      </c>
      <c r="F45" s="49">
        <f>IF(Q6=1,D45,-E45)</f>
        <v>-20000</v>
      </c>
      <c r="G45" s="49">
        <f t="shared" si="53"/>
        <v>0.11251763361691523</v>
      </c>
      <c r="H45" s="49">
        <f t="shared" si="11"/>
        <v>0.10731709395383104</v>
      </c>
      <c r="I45" s="45"/>
      <c r="J45" s="45">
        <f>IF(Q6=1,D45,D45)</f>
        <v>20000</v>
      </c>
      <c r="K45" s="45">
        <f t="shared" si="12"/>
        <v>0.88748236638308475</v>
      </c>
      <c r="L45" s="45">
        <f t="shared" si="13"/>
        <v>0.89268290604616896</v>
      </c>
      <c r="M45" s="45">
        <f t="shared" si="54"/>
        <v>0.69871771847211805</v>
      </c>
      <c r="N45" s="48"/>
      <c r="O45" s="68"/>
      <c r="P45" s="67"/>
      <c r="Q45" s="68"/>
      <c r="R45" s="68"/>
      <c r="S45" s="45">
        <f t="shared" si="55"/>
        <v>1</v>
      </c>
      <c r="T45" s="45">
        <f t="shared" si="56"/>
        <v>1</v>
      </c>
      <c r="U45" s="48">
        <f t="shared" si="14"/>
        <v>1.0000000822403709E-9</v>
      </c>
      <c r="V45" s="48">
        <f t="shared" si="15"/>
        <v>1.0000000822403709E-9</v>
      </c>
      <c r="W45" s="45">
        <f t="shared" si="16"/>
        <v>1.0000001644807486E-18</v>
      </c>
      <c r="X45" s="45">
        <f t="shared" si="17"/>
        <v>1.0000001644807486E-18</v>
      </c>
      <c r="Y45" s="45">
        <f t="shared" si="18"/>
        <v>1.0000001644807486E-18</v>
      </c>
      <c r="Z45" s="45"/>
      <c r="AA45" s="45">
        <f t="shared" si="57"/>
        <v>1</v>
      </c>
      <c r="AB45" s="45">
        <f t="shared" si="19"/>
        <v>1</v>
      </c>
      <c r="AC45" s="45">
        <f t="shared" si="20"/>
        <v>1.0000000822403709E-9</v>
      </c>
      <c r="AD45" s="45">
        <f t="shared" si="21"/>
        <v>1.0000000822403709E-9</v>
      </c>
      <c r="AE45" s="45">
        <f t="shared" si="22"/>
        <v>1.0000001644807486E-18</v>
      </c>
      <c r="AF45" s="45">
        <f t="shared" si="23"/>
        <v>1.0000001644807486E-18</v>
      </c>
      <c r="AG45" s="45">
        <f t="shared" si="24"/>
        <v>1.0000001644807486E-18</v>
      </c>
      <c r="AH45" s="45"/>
      <c r="AI45" s="45">
        <f t="shared" si="25"/>
        <v>1</v>
      </c>
      <c r="AJ45" s="45">
        <f t="shared" si="26"/>
        <v>1</v>
      </c>
      <c r="AK45" s="45">
        <f t="shared" si="27"/>
        <v>1.0000000822403709E-9</v>
      </c>
      <c r="AL45" s="45">
        <f t="shared" si="28"/>
        <v>1.0000000822403709E-9</v>
      </c>
      <c r="AM45" s="45">
        <f t="shared" si="29"/>
        <v>1.0000001644807486E-18</v>
      </c>
      <c r="AN45" s="45">
        <f t="shared" si="30"/>
        <v>1.0000001644807486E-18</v>
      </c>
      <c r="AO45" s="45">
        <f t="shared" si="31"/>
        <v>1.0000001644807486E-18</v>
      </c>
      <c r="AP45" s="45"/>
      <c r="AQ45" s="45">
        <f t="shared" si="32"/>
        <v>1</v>
      </c>
      <c r="AR45" s="45">
        <f t="shared" si="33"/>
        <v>1</v>
      </c>
      <c r="AS45" s="45">
        <f t="shared" si="34"/>
        <v>1.0000000822403709E-9</v>
      </c>
      <c r="AT45" s="45">
        <f t="shared" si="35"/>
        <v>1.0000000822403709E-9</v>
      </c>
      <c r="AU45" s="45">
        <f t="shared" si="36"/>
        <v>1.0000001644807486E-18</v>
      </c>
      <c r="AV45" s="45">
        <f t="shared" si="37"/>
        <v>1.0000001644807486E-18</v>
      </c>
      <c r="AW45" s="45">
        <f t="shared" si="38"/>
        <v>1.0000001644807486E-18</v>
      </c>
      <c r="AX45" s="45"/>
      <c r="AY45" s="45"/>
      <c r="AZ45" s="45"/>
      <c r="BA45" s="45" t="str">
        <f t="shared" si="39"/>
        <v/>
      </c>
      <c r="BB45" s="45" t="str">
        <f t="shared" si="40"/>
        <v/>
      </c>
      <c r="BC45" s="45" t="str">
        <f t="shared" si="41"/>
        <v/>
      </c>
      <c r="BD45" s="45" t="str">
        <f t="shared" si="42"/>
        <v/>
      </c>
      <c r="BE45" s="45" t="str">
        <f t="shared" si="58"/>
        <v/>
      </c>
      <c r="BF45" s="45" t="str">
        <f t="shared" si="59"/>
        <v/>
      </c>
      <c r="BG45" s="45" t="str">
        <f t="shared" si="43"/>
        <v/>
      </c>
      <c r="BH45" s="45"/>
      <c r="BI45" s="45">
        <f t="shared" si="51"/>
        <v>-20000</v>
      </c>
      <c r="BJ45" s="45">
        <f t="shared" si="44"/>
        <v>0.10731709395383104</v>
      </c>
      <c r="BK45" s="45">
        <f t="shared" si="45"/>
        <v>0.12021860531546985</v>
      </c>
      <c r="BL45" s="45">
        <f t="shared" si="46"/>
        <v>-2.1184434825408114</v>
      </c>
      <c r="BM45" s="45">
        <f t="shared" si="60"/>
        <v>42368.869650816225</v>
      </c>
      <c r="BN45" s="45">
        <f t="shared" si="61"/>
        <v>400000000</v>
      </c>
      <c r="BO45" s="45">
        <f t="shared" si="47"/>
        <v>4.487802788719641</v>
      </c>
      <c r="BP45" s="45"/>
      <c r="BQ45" s="45"/>
      <c r="BR45" s="50" t="str">
        <f>IF(B72="","",F45)</f>
        <v/>
      </c>
      <c r="BS45" s="50" t="str">
        <f>IF(B72="","",BJ45)</f>
        <v/>
      </c>
      <c r="BT45" s="50" t="str">
        <f t="shared" si="48"/>
        <v/>
      </c>
      <c r="BU45" s="50" t="str">
        <f t="shared" si="49"/>
        <v/>
      </c>
      <c r="BV45" s="50" t="str">
        <f t="shared" si="9"/>
        <v/>
      </c>
      <c r="BW45" s="50" t="str">
        <f t="shared" si="10"/>
        <v/>
      </c>
      <c r="BX45" s="50" t="str">
        <f t="shared" si="50"/>
        <v/>
      </c>
      <c r="BY45" s="45"/>
      <c r="BZ45" s="72"/>
      <c r="CA45" s="72"/>
      <c r="CB45" s="72"/>
      <c r="CC45" s="72"/>
      <c r="CD45" s="72"/>
      <c r="CE45" s="72"/>
      <c r="CF45" s="72"/>
      <c r="CG45" s="72"/>
      <c r="CH45" s="72"/>
      <c r="CI45" s="72"/>
      <c r="CJ45" s="72"/>
      <c r="CK45" s="70"/>
      <c r="CL45" s="70"/>
    </row>
    <row r="46" spans="1:90" x14ac:dyDescent="0.3">
      <c r="A46" s="48">
        <f>'EINGABEN EINZELWERTE'!B23</f>
        <v>0</v>
      </c>
      <c r="B46" s="45" t="str">
        <f t="shared" si="52"/>
        <v/>
      </c>
      <c r="C46" s="48">
        <f>IF((B46=""),MAX(B9:B108),B46)</f>
        <v>20000</v>
      </c>
      <c r="D46" s="45">
        <f>SMALL(C9:C108,38)</f>
        <v>20000</v>
      </c>
      <c r="E46" s="45">
        <f>LARGE(C9:C108,38)</f>
        <v>20000</v>
      </c>
      <c r="F46" s="49">
        <f>IF(Q6=1,D46,-E46)</f>
        <v>-20000</v>
      </c>
      <c r="G46" s="49">
        <f t="shared" si="53"/>
        <v>0.11251763361691523</v>
      </c>
      <c r="H46" s="49">
        <f t="shared" si="11"/>
        <v>0.10731709395383104</v>
      </c>
      <c r="I46" s="45"/>
      <c r="J46" s="45">
        <f>IF(Q6=1,D46,D46)</f>
        <v>20000</v>
      </c>
      <c r="K46" s="45">
        <f t="shared" si="12"/>
        <v>0.88748236638308475</v>
      </c>
      <c r="L46" s="45">
        <f t="shared" si="13"/>
        <v>0.89268290604616896</v>
      </c>
      <c r="M46" s="45">
        <f t="shared" si="54"/>
        <v>0.69871771847211805</v>
      </c>
      <c r="N46" s="48"/>
      <c r="O46" s="68"/>
      <c r="P46" s="67"/>
      <c r="Q46" s="68"/>
      <c r="R46" s="68"/>
      <c r="S46" s="45">
        <f t="shared" si="55"/>
        <v>1</v>
      </c>
      <c r="T46" s="45">
        <f t="shared" si="56"/>
        <v>1</v>
      </c>
      <c r="U46" s="48">
        <f t="shared" si="14"/>
        <v>1.0000000822403709E-9</v>
      </c>
      <c r="V46" s="48">
        <f t="shared" si="15"/>
        <v>1.0000000822403709E-9</v>
      </c>
      <c r="W46" s="45">
        <f t="shared" si="16"/>
        <v>1.0000001644807486E-18</v>
      </c>
      <c r="X46" s="45">
        <f t="shared" si="17"/>
        <v>1.0000001644807486E-18</v>
      </c>
      <c r="Y46" s="45">
        <f t="shared" si="18"/>
        <v>1.0000001644807486E-18</v>
      </c>
      <c r="Z46" s="45"/>
      <c r="AA46" s="45">
        <f t="shared" si="57"/>
        <v>1</v>
      </c>
      <c r="AB46" s="45">
        <f t="shared" si="19"/>
        <v>1</v>
      </c>
      <c r="AC46" s="45">
        <f t="shared" si="20"/>
        <v>1.0000000822403709E-9</v>
      </c>
      <c r="AD46" s="45">
        <f t="shared" si="21"/>
        <v>1.0000000822403709E-9</v>
      </c>
      <c r="AE46" s="45">
        <f t="shared" si="22"/>
        <v>1.0000001644807486E-18</v>
      </c>
      <c r="AF46" s="45">
        <f t="shared" si="23"/>
        <v>1.0000001644807486E-18</v>
      </c>
      <c r="AG46" s="45">
        <f t="shared" si="24"/>
        <v>1.0000001644807486E-18</v>
      </c>
      <c r="AH46" s="45"/>
      <c r="AI46" s="45">
        <f t="shared" si="25"/>
        <v>1</v>
      </c>
      <c r="AJ46" s="45">
        <f t="shared" si="26"/>
        <v>1</v>
      </c>
      <c r="AK46" s="45">
        <f t="shared" si="27"/>
        <v>1.0000000822403709E-9</v>
      </c>
      <c r="AL46" s="45">
        <f t="shared" si="28"/>
        <v>1.0000000822403709E-9</v>
      </c>
      <c r="AM46" s="45">
        <f t="shared" si="29"/>
        <v>1.0000001644807486E-18</v>
      </c>
      <c r="AN46" s="45">
        <f t="shared" si="30"/>
        <v>1.0000001644807486E-18</v>
      </c>
      <c r="AO46" s="45">
        <f t="shared" si="31"/>
        <v>1.0000001644807486E-18</v>
      </c>
      <c r="AP46" s="45"/>
      <c r="AQ46" s="45">
        <f t="shared" si="32"/>
        <v>1</v>
      </c>
      <c r="AR46" s="45">
        <f t="shared" si="33"/>
        <v>1</v>
      </c>
      <c r="AS46" s="45">
        <f t="shared" si="34"/>
        <v>1.0000000822403709E-9</v>
      </c>
      <c r="AT46" s="45">
        <f t="shared" si="35"/>
        <v>1.0000000822403709E-9</v>
      </c>
      <c r="AU46" s="45">
        <f t="shared" si="36"/>
        <v>1.0000001644807486E-18</v>
      </c>
      <c r="AV46" s="45">
        <f t="shared" si="37"/>
        <v>1.0000001644807486E-18</v>
      </c>
      <c r="AW46" s="45">
        <f t="shared" si="38"/>
        <v>1.0000001644807486E-18</v>
      </c>
      <c r="AX46" s="45"/>
      <c r="AY46" s="45"/>
      <c r="AZ46" s="45"/>
      <c r="BA46" s="45" t="str">
        <f t="shared" si="39"/>
        <v/>
      </c>
      <c r="BB46" s="45" t="str">
        <f t="shared" si="40"/>
        <v/>
      </c>
      <c r="BC46" s="45" t="str">
        <f t="shared" si="41"/>
        <v/>
      </c>
      <c r="BD46" s="45" t="str">
        <f t="shared" si="42"/>
        <v/>
      </c>
      <c r="BE46" s="45" t="str">
        <f t="shared" si="58"/>
        <v/>
      </c>
      <c r="BF46" s="45" t="str">
        <f t="shared" si="59"/>
        <v/>
      </c>
      <c r="BG46" s="45" t="str">
        <f t="shared" si="43"/>
        <v/>
      </c>
      <c r="BH46" s="45"/>
      <c r="BI46" s="45">
        <f t="shared" si="51"/>
        <v>-20000</v>
      </c>
      <c r="BJ46" s="45">
        <f t="shared" si="44"/>
        <v>0.10731709395383104</v>
      </c>
      <c r="BK46" s="45">
        <f t="shared" si="45"/>
        <v>0.12021860531546985</v>
      </c>
      <c r="BL46" s="45">
        <f t="shared" si="46"/>
        <v>-2.1184434825408114</v>
      </c>
      <c r="BM46" s="45">
        <f t="shared" si="60"/>
        <v>42368.869650816225</v>
      </c>
      <c r="BN46" s="45">
        <f t="shared" si="61"/>
        <v>400000000</v>
      </c>
      <c r="BO46" s="45">
        <f t="shared" si="47"/>
        <v>4.487802788719641</v>
      </c>
      <c r="BP46" s="45"/>
      <c r="BQ46" s="45"/>
      <c r="BR46" s="50" t="str">
        <f>IF(B71="","",F46)</f>
        <v/>
      </c>
      <c r="BS46" s="50" t="str">
        <f>IF(B71="","",BJ46)</f>
        <v/>
      </c>
      <c r="BT46" s="50" t="str">
        <f t="shared" si="48"/>
        <v/>
      </c>
      <c r="BU46" s="50" t="str">
        <f t="shared" si="49"/>
        <v/>
      </c>
      <c r="BV46" s="50" t="str">
        <f t="shared" si="9"/>
        <v/>
      </c>
      <c r="BW46" s="50" t="str">
        <f t="shared" si="10"/>
        <v/>
      </c>
      <c r="BX46" s="50" t="str">
        <f t="shared" si="50"/>
        <v/>
      </c>
      <c r="BY46" s="45"/>
      <c r="BZ46" s="72"/>
      <c r="CA46" s="72"/>
      <c r="CB46" s="72"/>
      <c r="CC46" s="72"/>
      <c r="CD46" s="72"/>
      <c r="CE46" s="72"/>
      <c r="CF46" s="72"/>
      <c r="CG46" s="72"/>
      <c r="CH46" s="72"/>
      <c r="CI46" s="72"/>
      <c r="CJ46" s="72"/>
      <c r="CK46" s="70"/>
      <c r="CL46" s="70"/>
    </row>
    <row r="47" spans="1:90" x14ac:dyDescent="0.3">
      <c r="A47" s="48">
        <f>'EINGABEN EINZELWERTE'!B24</f>
        <v>0</v>
      </c>
      <c r="B47" s="45" t="str">
        <f t="shared" si="52"/>
        <v/>
      </c>
      <c r="C47" s="48">
        <f>IF((B47=""),MAX(B9:B108),B47)</f>
        <v>20000</v>
      </c>
      <c r="D47" s="45">
        <f>SMALL(C9:C108,39)</f>
        <v>20000</v>
      </c>
      <c r="E47" s="45">
        <f>LARGE(C9:C108,39)</f>
        <v>20000</v>
      </c>
      <c r="F47" s="49">
        <f>IF(Q6=1,D47,-E47)</f>
        <v>-20000</v>
      </c>
      <c r="G47" s="49">
        <f t="shared" si="53"/>
        <v>0.11251763361691523</v>
      </c>
      <c r="H47" s="49">
        <f t="shared" si="11"/>
        <v>0.10731709395383104</v>
      </c>
      <c r="I47" s="45"/>
      <c r="J47" s="45">
        <f>IF(Q6=1,D47,D47)</f>
        <v>20000</v>
      </c>
      <c r="K47" s="45">
        <f t="shared" si="12"/>
        <v>0.88748236638308475</v>
      </c>
      <c r="L47" s="45">
        <f t="shared" si="13"/>
        <v>0.89268290604616896</v>
      </c>
      <c r="M47" s="45">
        <f t="shared" si="54"/>
        <v>0.69871771847211805</v>
      </c>
      <c r="N47" s="48"/>
      <c r="O47" s="68"/>
      <c r="P47" s="67"/>
      <c r="Q47" s="68"/>
      <c r="R47" s="68"/>
      <c r="S47" s="45">
        <f t="shared" si="55"/>
        <v>1</v>
      </c>
      <c r="T47" s="45">
        <f t="shared" si="56"/>
        <v>1</v>
      </c>
      <c r="U47" s="48">
        <f t="shared" si="14"/>
        <v>1.0000000822403709E-9</v>
      </c>
      <c r="V47" s="48">
        <f t="shared" si="15"/>
        <v>1.0000000822403709E-9</v>
      </c>
      <c r="W47" s="45">
        <f t="shared" si="16"/>
        <v>1.0000001644807486E-18</v>
      </c>
      <c r="X47" s="45">
        <f t="shared" si="17"/>
        <v>1.0000001644807486E-18</v>
      </c>
      <c r="Y47" s="45">
        <f t="shared" si="18"/>
        <v>1.0000001644807486E-18</v>
      </c>
      <c r="Z47" s="45"/>
      <c r="AA47" s="45">
        <f t="shared" si="57"/>
        <v>1</v>
      </c>
      <c r="AB47" s="45">
        <f t="shared" si="19"/>
        <v>1</v>
      </c>
      <c r="AC47" s="45">
        <f t="shared" si="20"/>
        <v>1.0000000822403709E-9</v>
      </c>
      <c r="AD47" s="45">
        <f t="shared" si="21"/>
        <v>1.0000000822403709E-9</v>
      </c>
      <c r="AE47" s="45">
        <f t="shared" si="22"/>
        <v>1.0000001644807486E-18</v>
      </c>
      <c r="AF47" s="45">
        <f t="shared" si="23"/>
        <v>1.0000001644807486E-18</v>
      </c>
      <c r="AG47" s="45">
        <f t="shared" si="24"/>
        <v>1.0000001644807486E-18</v>
      </c>
      <c r="AH47" s="45"/>
      <c r="AI47" s="45">
        <f t="shared" si="25"/>
        <v>1</v>
      </c>
      <c r="AJ47" s="45">
        <f t="shared" si="26"/>
        <v>1</v>
      </c>
      <c r="AK47" s="45">
        <f t="shared" si="27"/>
        <v>1.0000000822403709E-9</v>
      </c>
      <c r="AL47" s="45">
        <f t="shared" si="28"/>
        <v>1.0000000822403709E-9</v>
      </c>
      <c r="AM47" s="45">
        <f t="shared" si="29"/>
        <v>1.0000001644807486E-18</v>
      </c>
      <c r="AN47" s="45">
        <f t="shared" si="30"/>
        <v>1.0000001644807486E-18</v>
      </c>
      <c r="AO47" s="45">
        <f t="shared" si="31"/>
        <v>1.0000001644807486E-18</v>
      </c>
      <c r="AP47" s="45"/>
      <c r="AQ47" s="45">
        <f t="shared" si="32"/>
        <v>1</v>
      </c>
      <c r="AR47" s="45">
        <f t="shared" si="33"/>
        <v>1</v>
      </c>
      <c r="AS47" s="45">
        <f t="shared" si="34"/>
        <v>1.0000000822403709E-9</v>
      </c>
      <c r="AT47" s="45">
        <f t="shared" si="35"/>
        <v>1.0000000822403709E-9</v>
      </c>
      <c r="AU47" s="45">
        <f t="shared" si="36"/>
        <v>1.0000001644807486E-18</v>
      </c>
      <c r="AV47" s="45">
        <f t="shared" si="37"/>
        <v>1.0000001644807486E-18</v>
      </c>
      <c r="AW47" s="45">
        <f t="shared" si="38"/>
        <v>1.0000001644807486E-18</v>
      </c>
      <c r="AX47" s="45"/>
      <c r="AY47" s="45"/>
      <c r="AZ47" s="45"/>
      <c r="BA47" s="45" t="str">
        <f t="shared" si="39"/>
        <v/>
      </c>
      <c r="BB47" s="45" t="str">
        <f t="shared" si="40"/>
        <v/>
      </c>
      <c r="BC47" s="45" t="str">
        <f t="shared" si="41"/>
        <v/>
      </c>
      <c r="BD47" s="45" t="str">
        <f t="shared" si="42"/>
        <v/>
      </c>
      <c r="BE47" s="45" t="str">
        <f t="shared" si="58"/>
        <v/>
      </c>
      <c r="BF47" s="45" t="str">
        <f t="shared" si="59"/>
        <v/>
      </c>
      <c r="BG47" s="45" t="str">
        <f t="shared" si="43"/>
        <v/>
      </c>
      <c r="BH47" s="45"/>
      <c r="BI47" s="45">
        <f t="shared" si="51"/>
        <v>-20000</v>
      </c>
      <c r="BJ47" s="45">
        <f t="shared" si="44"/>
        <v>0.10731709395383104</v>
      </c>
      <c r="BK47" s="45">
        <f t="shared" si="45"/>
        <v>0.12021860531546985</v>
      </c>
      <c r="BL47" s="45">
        <f t="shared" si="46"/>
        <v>-2.1184434825408114</v>
      </c>
      <c r="BM47" s="45">
        <f t="shared" si="60"/>
        <v>42368.869650816225</v>
      </c>
      <c r="BN47" s="45">
        <f t="shared" si="61"/>
        <v>400000000</v>
      </c>
      <c r="BO47" s="45">
        <f t="shared" si="47"/>
        <v>4.487802788719641</v>
      </c>
      <c r="BP47" s="45"/>
      <c r="BQ47" s="45"/>
      <c r="BR47" s="50" t="str">
        <f>IF(B70="","",F47)</f>
        <v/>
      </c>
      <c r="BS47" s="50" t="str">
        <f>IF(B70="","",BJ47)</f>
        <v/>
      </c>
      <c r="BT47" s="50" t="str">
        <f t="shared" si="48"/>
        <v/>
      </c>
      <c r="BU47" s="50" t="str">
        <f t="shared" si="49"/>
        <v/>
      </c>
      <c r="BV47" s="50" t="str">
        <f t="shared" si="9"/>
        <v/>
      </c>
      <c r="BW47" s="50" t="str">
        <f t="shared" si="10"/>
        <v/>
      </c>
      <c r="BX47" s="50" t="str">
        <f t="shared" si="50"/>
        <v/>
      </c>
      <c r="BY47" s="45"/>
      <c r="BZ47" s="72"/>
      <c r="CA47" s="72"/>
      <c r="CB47" s="72"/>
      <c r="CC47" s="72"/>
      <c r="CD47" s="72"/>
      <c r="CE47" s="72"/>
      <c r="CF47" s="72"/>
      <c r="CG47" s="72"/>
      <c r="CH47" s="72"/>
      <c r="CI47" s="72"/>
      <c r="CJ47" s="72"/>
      <c r="CK47" s="70"/>
      <c r="CL47" s="70"/>
    </row>
    <row r="48" spans="1:90" x14ac:dyDescent="0.3">
      <c r="A48" s="48">
        <f>'EINGABEN EINZELWERTE'!B25</f>
        <v>0</v>
      </c>
      <c r="B48" s="45" t="str">
        <f t="shared" si="52"/>
        <v/>
      </c>
      <c r="C48" s="48">
        <f>IF((B48=""),MAX(B9:B108),B48)</f>
        <v>20000</v>
      </c>
      <c r="D48" s="45">
        <f>SMALL(C9:C108,40)</f>
        <v>20000</v>
      </c>
      <c r="E48" s="45">
        <f>LARGE(C9:C108,40)</f>
        <v>20000</v>
      </c>
      <c r="F48" s="49">
        <f>IF(Q6=1,D48,-E48)</f>
        <v>-20000</v>
      </c>
      <c r="G48" s="49">
        <f t="shared" si="53"/>
        <v>0.11251763361691523</v>
      </c>
      <c r="H48" s="49">
        <f t="shared" si="11"/>
        <v>0.10731709395383104</v>
      </c>
      <c r="I48" s="45"/>
      <c r="J48" s="45">
        <f>IF(Q6=1,D48,D48)</f>
        <v>20000</v>
      </c>
      <c r="K48" s="45">
        <f t="shared" si="12"/>
        <v>0.88748236638308475</v>
      </c>
      <c r="L48" s="45">
        <f t="shared" si="13"/>
        <v>0.89268290604616896</v>
      </c>
      <c r="M48" s="45">
        <f t="shared" si="54"/>
        <v>0.69871771847211805</v>
      </c>
      <c r="N48" s="48"/>
      <c r="O48" s="68"/>
      <c r="P48" s="67"/>
      <c r="Q48" s="68"/>
      <c r="R48" s="68"/>
      <c r="S48" s="45">
        <f t="shared" si="55"/>
        <v>1</v>
      </c>
      <c r="T48" s="45">
        <f t="shared" si="56"/>
        <v>1</v>
      </c>
      <c r="U48" s="48">
        <f t="shared" si="14"/>
        <v>1.0000000822403709E-9</v>
      </c>
      <c r="V48" s="48">
        <f t="shared" si="15"/>
        <v>1.0000000822403709E-9</v>
      </c>
      <c r="W48" s="45">
        <f t="shared" si="16"/>
        <v>1.0000001644807486E-18</v>
      </c>
      <c r="X48" s="45">
        <f t="shared" si="17"/>
        <v>1.0000001644807486E-18</v>
      </c>
      <c r="Y48" s="45">
        <f t="shared" si="18"/>
        <v>1.0000001644807486E-18</v>
      </c>
      <c r="Z48" s="45"/>
      <c r="AA48" s="45">
        <f t="shared" si="57"/>
        <v>1</v>
      </c>
      <c r="AB48" s="45">
        <f t="shared" si="19"/>
        <v>1</v>
      </c>
      <c r="AC48" s="45">
        <f t="shared" si="20"/>
        <v>1.0000000822403709E-9</v>
      </c>
      <c r="AD48" s="45">
        <f t="shared" si="21"/>
        <v>1.0000000822403709E-9</v>
      </c>
      <c r="AE48" s="45">
        <f t="shared" si="22"/>
        <v>1.0000001644807486E-18</v>
      </c>
      <c r="AF48" s="45">
        <f t="shared" si="23"/>
        <v>1.0000001644807486E-18</v>
      </c>
      <c r="AG48" s="45">
        <f t="shared" si="24"/>
        <v>1.0000001644807486E-18</v>
      </c>
      <c r="AH48" s="45"/>
      <c r="AI48" s="45">
        <f t="shared" si="25"/>
        <v>1</v>
      </c>
      <c r="AJ48" s="45">
        <f t="shared" si="26"/>
        <v>1</v>
      </c>
      <c r="AK48" s="45">
        <f t="shared" si="27"/>
        <v>1.0000000822403709E-9</v>
      </c>
      <c r="AL48" s="45">
        <f t="shared" si="28"/>
        <v>1.0000000822403709E-9</v>
      </c>
      <c r="AM48" s="45">
        <f t="shared" si="29"/>
        <v>1.0000001644807486E-18</v>
      </c>
      <c r="AN48" s="45">
        <f t="shared" si="30"/>
        <v>1.0000001644807486E-18</v>
      </c>
      <c r="AO48" s="45">
        <f t="shared" si="31"/>
        <v>1.0000001644807486E-18</v>
      </c>
      <c r="AP48" s="45"/>
      <c r="AQ48" s="45">
        <f t="shared" si="32"/>
        <v>1</v>
      </c>
      <c r="AR48" s="45">
        <f t="shared" si="33"/>
        <v>1</v>
      </c>
      <c r="AS48" s="45">
        <f t="shared" si="34"/>
        <v>1.0000000822403709E-9</v>
      </c>
      <c r="AT48" s="45">
        <f t="shared" si="35"/>
        <v>1.0000000822403709E-9</v>
      </c>
      <c r="AU48" s="45">
        <f t="shared" si="36"/>
        <v>1.0000001644807486E-18</v>
      </c>
      <c r="AV48" s="45">
        <f t="shared" si="37"/>
        <v>1.0000001644807486E-18</v>
      </c>
      <c r="AW48" s="45">
        <f t="shared" si="38"/>
        <v>1.0000001644807486E-18</v>
      </c>
      <c r="AX48" s="45"/>
      <c r="AY48" s="45"/>
      <c r="AZ48" s="45"/>
      <c r="BA48" s="45" t="str">
        <f t="shared" si="39"/>
        <v/>
      </c>
      <c r="BB48" s="45" t="str">
        <f t="shared" si="40"/>
        <v/>
      </c>
      <c r="BC48" s="45" t="str">
        <f t="shared" si="41"/>
        <v/>
      </c>
      <c r="BD48" s="45" t="str">
        <f t="shared" si="42"/>
        <v/>
      </c>
      <c r="BE48" s="45" t="str">
        <f t="shared" si="58"/>
        <v/>
      </c>
      <c r="BF48" s="45" t="str">
        <f t="shared" si="59"/>
        <v/>
      </c>
      <c r="BG48" s="45" t="str">
        <f t="shared" si="43"/>
        <v/>
      </c>
      <c r="BH48" s="45"/>
      <c r="BI48" s="45">
        <f t="shared" si="51"/>
        <v>-20000</v>
      </c>
      <c r="BJ48" s="45">
        <f t="shared" si="44"/>
        <v>0.10731709395383104</v>
      </c>
      <c r="BK48" s="45">
        <f t="shared" si="45"/>
        <v>0.12021860531546985</v>
      </c>
      <c r="BL48" s="45">
        <f t="shared" si="46"/>
        <v>-2.1184434825408114</v>
      </c>
      <c r="BM48" s="45">
        <f t="shared" si="60"/>
        <v>42368.869650816225</v>
      </c>
      <c r="BN48" s="45">
        <f t="shared" si="61"/>
        <v>400000000</v>
      </c>
      <c r="BO48" s="45">
        <f t="shared" si="47"/>
        <v>4.487802788719641</v>
      </c>
      <c r="BP48" s="45"/>
      <c r="BQ48" s="45"/>
      <c r="BR48" s="50" t="str">
        <f>IF(B69="","",F48)</f>
        <v/>
      </c>
      <c r="BS48" s="50" t="str">
        <f>IF(B69="","",BJ48)</f>
        <v/>
      </c>
      <c r="BT48" s="50" t="str">
        <f t="shared" si="48"/>
        <v/>
      </c>
      <c r="BU48" s="50" t="str">
        <f t="shared" si="49"/>
        <v/>
      </c>
      <c r="BV48" s="50" t="str">
        <f t="shared" si="9"/>
        <v/>
      </c>
      <c r="BW48" s="50" t="str">
        <f t="shared" si="10"/>
        <v/>
      </c>
      <c r="BX48" s="50" t="str">
        <f t="shared" si="50"/>
        <v/>
      </c>
      <c r="BY48" s="45"/>
      <c r="BZ48" s="72"/>
      <c r="CA48" s="72"/>
      <c r="CB48" s="72"/>
      <c r="CC48" s="72"/>
      <c r="CD48" s="72"/>
      <c r="CE48" s="72"/>
      <c r="CF48" s="72"/>
      <c r="CG48" s="72"/>
      <c r="CH48" s="72"/>
      <c r="CI48" s="72"/>
      <c r="CJ48" s="72"/>
      <c r="CK48" s="70"/>
      <c r="CL48" s="70"/>
    </row>
    <row r="49" spans="1:90" x14ac:dyDescent="0.3">
      <c r="A49" s="48">
        <f>'EINGABEN EINZELWERTE'!C6</f>
        <v>0</v>
      </c>
      <c r="B49" s="45" t="str">
        <f t="shared" si="52"/>
        <v/>
      </c>
      <c r="C49" s="48">
        <f>IF((B49=""),MAX(B9:B108),B49)</f>
        <v>20000</v>
      </c>
      <c r="D49" s="45">
        <f>SMALL(C9:C108,41)</f>
        <v>20000</v>
      </c>
      <c r="E49" s="45">
        <f>LARGE(C9:C108,41)</f>
        <v>20000</v>
      </c>
      <c r="F49" s="49">
        <f>IF(Q6=1,D49,-E49)</f>
        <v>-20000</v>
      </c>
      <c r="G49" s="49">
        <f t="shared" si="53"/>
        <v>0.11251763361691523</v>
      </c>
      <c r="H49" s="49">
        <f t="shared" si="11"/>
        <v>0.10731709395383104</v>
      </c>
      <c r="I49" s="45"/>
      <c r="J49" s="45">
        <f>IF(Q66=1,D49,D49)</f>
        <v>20000</v>
      </c>
      <c r="K49" s="45">
        <f t="shared" si="12"/>
        <v>0.88748236638308475</v>
      </c>
      <c r="L49" s="45">
        <f t="shared" si="13"/>
        <v>0.89268290604616896</v>
      </c>
      <c r="M49" s="45">
        <f t="shared" si="54"/>
        <v>0.69871771847211805</v>
      </c>
      <c r="N49" s="48"/>
      <c r="O49" s="68"/>
      <c r="P49" s="67"/>
      <c r="Q49" s="68"/>
      <c r="R49" s="68"/>
      <c r="S49" s="45">
        <f t="shared" si="55"/>
        <v>1</v>
      </c>
      <c r="T49" s="45">
        <f t="shared" si="56"/>
        <v>1</v>
      </c>
      <c r="U49" s="48">
        <f t="shared" si="14"/>
        <v>1.0000000822403709E-9</v>
      </c>
      <c r="V49" s="48">
        <f t="shared" si="15"/>
        <v>1.0000000822403709E-9</v>
      </c>
      <c r="W49" s="45">
        <f t="shared" si="16"/>
        <v>1.0000001644807486E-18</v>
      </c>
      <c r="X49" s="45">
        <f t="shared" si="17"/>
        <v>1.0000001644807486E-18</v>
      </c>
      <c r="Y49" s="45">
        <f t="shared" si="18"/>
        <v>1.0000001644807486E-18</v>
      </c>
      <c r="Z49" s="45"/>
      <c r="AA49" s="45">
        <f t="shared" si="57"/>
        <v>1</v>
      </c>
      <c r="AB49" s="45">
        <f t="shared" si="19"/>
        <v>1</v>
      </c>
      <c r="AC49" s="45">
        <f t="shared" si="20"/>
        <v>1.0000000822403709E-9</v>
      </c>
      <c r="AD49" s="45">
        <f t="shared" si="21"/>
        <v>1.0000000822403709E-9</v>
      </c>
      <c r="AE49" s="45">
        <f t="shared" si="22"/>
        <v>1.0000001644807486E-18</v>
      </c>
      <c r="AF49" s="45">
        <f t="shared" si="23"/>
        <v>1.0000001644807486E-18</v>
      </c>
      <c r="AG49" s="45">
        <f t="shared" si="24"/>
        <v>1.0000001644807486E-18</v>
      </c>
      <c r="AH49" s="45"/>
      <c r="AI49" s="45">
        <f t="shared" si="25"/>
        <v>1</v>
      </c>
      <c r="AJ49" s="45">
        <f t="shared" si="26"/>
        <v>1</v>
      </c>
      <c r="AK49" s="45">
        <f t="shared" si="27"/>
        <v>1.0000000822403709E-9</v>
      </c>
      <c r="AL49" s="45">
        <f t="shared" si="28"/>
        <v>1.0000000822403709E-9</v>
      </c>
      <c r="AM49" s="45">
        <f t="shared" si="29"/>
        <v>1.0000001644807486E-18</v>
      </c>
      <c r="AN49" s="45">
        <f t="shared" si="30"/>
        <v>1.0000001644807486E-18</v>
      </c>
      <c r="AO49" s="45">
        <f t="shared" si="31"/>
        <v>1.0000001644807486E-18</v>
      </c>
      <c r="AP49" s="45"/>
      <c r="AQ49" s="45">
        <f t="shared" si="32"/>
        <v>1</v>
      </c>
      <c r="AR49" s="45">
        <f t="shared" si="33"/>
        <v>1</v>
      </c>
      <c r="AS49" s="45">
        <f t="shared" si="34"/>
        <v>1.0000000822403709E-9</v>
      </c>
      <c r="AT49" s="45">
        <f t="shared" si="35"/>
        <v>1.0000000822403709E-9</v>
      </c>
      <c r="AU49" s="45">
        <f t="shared" si="36"/>
        <v>1.0000001644807486E-18</v>
      </c>
      <c r="AV49" s="45">
        <f t="shared" si="37"/>
        <v>1.0000001644807486E-18</v>
      </c>
      <c r="AW49" s="45">
        <f t="shared" si="38"/>
        <v>1.0000001644807486E-18</v>
      </c>
      <c r="AX49" s="45"/>
      <c r="AY49" s="45"/>
      <c r="AZ49" s="45"/>
      <c r="BA49" s="45" t="str">
        <f t="shared" si="39"/>
        <v/>
      </c>
      <c r="BB49" s="45" t="str">
        <f t="shared" si="40"/>
        <v/>
      </c>
      <c r="BC49" s="45" t="str">
        <f t="shared" si="41"/>
        <v/>
      </c>
      <c r="BD49" s="45" t="str">
        <f t="shared" si="42"/>
        <v/>
      </c>
      <c r="BE49" s="45" t="str">
        <f t="shared" si="58"/>
        <v/>
      </c>
      <c r="BF49" s="45" t="str">
        <f t="shared" si="59"/>
        <v/>
      </c>
      <c r="BG49" s="45" t="str">
        <f t="shared" si="43"/>
        <v/>
      </c>
      <c r="BH49" s="45"/>
      <c r="BI49" s="45">
        <f t="shared" si="51"/>
        <v>-20000</v>
      </c>
      <c r="BJ49" s="45">
        <f t="shared" si="44"/>
        <v>0.10731709395383104</v>
      </c>
      <c r="BK49" s="45">
        <f t="shared" si="45"/>
        <v>0.12021860531546985</v>
      </c>
      <c r="BL49" s="45">
        <f t="shared" si="46"/>
        <v>-2.1184434825408114</v>
      </c>
      <c r="BM49" s="45">
        <f t="shared" si="60"/>
        <v>42368.869650816225</v>
      </c>
      <c r="BN49" s="45">
        <f t="shared" si="61"/>
        <v>400000000</v>
      </c>
      <c r="BO49" s="45">
        <f t="shared" si="47"/>
        <v>4.487802788719641</v>
      </c>
      <c r="BP49" s="45"/>
      <c r="BQ49" s="45"/>
      <c r="BR49" s="50" t="str">
        <f>IF(B68="","",F49)</f>
        <v/>
      </c>
      <c r="BS49" s="50" t="str">
        <f>IF(B68="","",BJ49)</f>
        <v/>
      </c>
      <c r="BT49" s="50" t="str">
        <f t="shared" si="48"/>
        <v/>
      </c>
      <c r="BU49" s="50" t="str">
        <f t="shared" si="49"/>
        <v/>
      </c>
      <c r="BV49" s="50" t="str">
        <f t="shared" si="9"/>
        <v/>
      </c>
      <c r="BW49" s="50" t="str">
        <f t="shared" si="10"/>
        <v/>
      </c>
      <c r="BX49" s="50" t="str">
        <f t="shared" si="50"/>
        <v/>
      </c>
      <c r="BY49" s="45"/>
      <c r="BZ49" s="72"/>
      <c r="CA49" s="72"/>
      <c r="CB49" s="72"/>
      <c r="CC49" s="72"/>
      <c r="CD49" s="72"/>
      <c r="CE49" s="72"/>
      <c r="CF49" s="72"/>
      <c r="CG49" s="72"/>
      <c r="CH49" s="72"/>
      <c r="CI49" s="72"/>
      <c r="CJ49" s="72"/>
      <c r="CK49" s="70"/>
      <c r="CL49" s="70"/>
    </row>
    <row r="50" spans="1:90" x14ac:dyDescent="0.3">
      <c r="A50" s="48">
        <f>'EINGABEN EINZELWERTE'!C7</f>
        <v>0</v>
      </c>
      <c r="B50" s="45" t="str">
        <f t="shared" si="52"/>
        <v/>
      </c>
      <c r="C50" s="48">
        <f>IF((B50=""),MAX(B9:B108),B50)</f>
        <v>20000</v>
      </c>
      <c r="D50" s="45">
        <f>SMALL(C9:C108,42)</f>
        <v>20000</v>
      </c>
      <c r="E50" s="45">
        <f>LARGE(C9:C108,42)</f>
        <v>20000</v>
      </c>
      <c r="F50" s="49">
        <f>IF(Q6=1,D50,-E50)</f>
        <v>-20000</v>
      </c>
      <c r="G50" s="49">
        <f t="shared" si="53"/>
        <v>0.11251763361691523</v>
      </c>
      <c r="H50" s="49">
        <f t="shared" si="11"/>
        <v>0.10731709395383104</v>
      </c>
      <c r="I50" s="45"/>
      <c r="J50" s="45">
        <f>IF(Q6=1,D50,D50)</f>
        <v>20000</v>
      </c>
      <c r="K50" s="45">
        <f t="shared" si="12"/>
        <v>0.88748236638308475</v>
      </c>
      <c r="L50" s="45">
        <f t="shared" si="13"/>
        <v>0.89268290604616896</v>
      </c>
      <c r="M50" s="45">
        <f t="shared" si="54"/>
        <v>0.69871771847211805</v>
      </c>
      <c r="N50" s="48"/>
      <c r="O50" s="68"/>
      <c r="P50" s="67"/>
      <c r="Q50" s="68"/>
      <c r="R50" s="68"/>
      <c r="S50" s="45">
        <f t="shared" si="55"/>
        <v>1</v>
      </c>
      <c r="T50" s="45">
        <f t="shared" si="56"/>
        <v>1</v>
      </c>
      <c r="U50" s="48">
        <f t="shared" si="14"/>
        <v>1.0000000822403709E-9</v>
      </c>
      <c r="V50" s="48">
        <f t="shared" si="15"/>
        <v>1.0000000822403709E-9</v>
      </c>
      <c r="W50" s="45">
        <f t="shared" si="16"/>
        <v>1.0000001644807486E-18</v>
      </c>
      <c r="X50" s="45">
        <f t="shared" si="17"/>
        <v>1.0000001644807486E-18</v>
      </c>
      <c r="Y50" s="45">
        <f t="shared" si="18"/>
        <v>1.0000001644807486E-18</v>
      </c>
      <c r="Z50" s="45"/>
      <c r="AA50" s="45">
        <f t="shared" si="57"/>
        <v>1</v>
      </c>
      <c r="AB50" s="45">
        <f t="shared" si="19"/>
        <v>1</v>
      </c>
      <c r="AC50" s="45">
        <f t="shared" si="20"/>
        <v>1.0000000822403709E-9</v>
      </c>
      <c r="AD50" s="45">
        <f t="shared" si="21"/>
        <v>1.0000000822403709E-9</v>
      </c>
      <c r="AE50" s="45">
        <f t="shared" si="22"/>
        <v>1.0000001644807486E-18</v>
      </c>
      <c r="AF50" s="45">
        <f t="shared" si="23"/>
        <v>1.0000001644807486E-18</v>
      </c>
      <c r="AG50" s="45">
        <f t="shared" si="24"/>
        <v>1.0000001644807486E-18</v>
      </c>
      <c r="AH50" s="45"/>
      <c r="AI50" s="45">
        <f t="shared" si="25"/>
        <v>1</v>
      </c>
      <c r="AJ50" s="45">
        <f t="shared" si="26"/>
        <v>1</v>
      </c>
      <c r="AK50" s="45">
        <f t="shared" si="27"/>
        <v>1.0000000822403709E-9</v>
      </c>
      <c r="AL50" s="45">
        <f t="shared" si="28"/>
        <v>1.0000000822403709E-9</v>
      </c>
      <c r="AM50" s="45">
        <f t="shared" si="29"/>
        <v>1.0000001644807486E-18</v>
      </c>
      <c r="AN50" s="45">
        <f t="shared" si="30"/>
        <v>1.0000001644807486E-18</v>
      </c>
      <c r="AO50" s="45">
        <f t="shared" si="31"/>
        <v>1.0000001644807486E-18</v>
      </c>
      <c r="AP50" s="45"/>
      <c r="AQ50" s="45">
        <f t="shared" si="32"/>
        <v>1</v>
      </c>
      <c r="AR50" s="45">
        <f t="shared" si="33"/>
        <v>1</v>
      </c>
      <c r="AS50" s="45">
        <f t="shared" si="34"/>
        <v>1.0000000822403709E-9</v>
      </c>
      <c r="AT50" s="45">
        <f t="shared" si="35"/>
        <v>1.0000000822403709E-9</v>
      </c>
      <c r="AU50" s="45">
        <f t="shared" si="36"/>
        <v>1.0000001644807486E-18</v>
      </c>
      <c r="AV50" s="45">
        <f t="shared" si="37"/>
        <v>1.0000001644807486E-18</v>
      </c>
      <c r="AW50" s="45">
        <f t="shared" si="38"/>
        <v>1.0000001644807486E-18</v>
      </c>
      <c r="AX50" s="45"/>
      <c r="AY50" s="45"/>
      <c r="AZ50" s="45"/>
      <c r="BA50" s="45" t="str">
        <f t="shared" si="39"/>
        <v/>
      </c>
      <c r="BB50" s="45" t="str">
        <f t="shared" si="40"/>
        <v/>
      </c>
      <c r="BC50" s="45" t="str">
        <f t="shared" si="41"/>
        <v/>
      </c>
      <c r="BD50" s="45" t="str">
        <f t="shared" si="42"/>
        <v/>
      </c>
      <c r="BE50" s="45" t="str">
        <f t="shared" si="58"/>
        <v/>
      </c>
      <c r="BF50" s="45" t="str">
        <f t="shared" si="59"/>
        <v/>
      </c>
      <c r="BG50" s="45" t="str">
        <f t="shared" si="43"/>
        <v/>
      </c>
      <c r="BH50" s="45"/>
      <c r="BI50" s="45">
        <f t="shared" si="51"/>
        <v>-20000</v>
      </c>
      <c r="BJ50" s="45">
        <f t="shared" si="44"/>
        <v>0.10731709395383104</v>
      </c>
      <c r="BK50" s="45">
        <f t="shared" si="45"/>
        <v>0.12021860531546985</v>
      </c>
      <c r="BL50" s="45">
        <f t="shared" si="46"/>
        <v>-2.1184434825408114</v>
      </c>
      <c r="BM50" s="45">
        <f t="shared" si="60"/>
        <v>42368.869650816225</v>
      </c>
      <c r="BN50" s="45">
        <f t="shared" si="61"/>
        <v>400000000</v>
      </c>
      <c r="BO50" s="45">
        <f t="shared" si="47"/>
        <v>4.487802788719641</v>
      </c>
      <c r="BP50" s="45"/>
      <c r="BQ50" s="45"/>
      <c r="BR50" s="50" t="str">
        <f>IF(B67="","",F50)</f>
        <v/>
      </c>
      <c r="BS50" s="50" t="str">
        <f>IF(B67="","",BJ50)</f>
        <v/>
      </c>
      <c r="BT50" s="50" t="str">
        <f t="shared" si="48"/>
        <v/>
      </c>
      <c r="BU50" s="50" t="str">
        <f t="shared" si="49"/>
        <v/>
      </c>
      <c r="BV50" s="50" t="str">
        <f t="shared" si="9"/>
        <v/>
      </c>
      <c r="BW50" s="50" t="str">
        <f t="shared" si="10"/>
        <v/>
      </c>
      <c r="BX50" s="50" t="str">
        <f t="shared" si="50"/>
        <v/>
      </c>
      <c r="BY50" s="45"/>
      <c r="BZ50" s="72"/>
      <c r="CA50" s="72"/>
      <c r="CB50" s="72"/>
      <c r="CC50" s="72"/>
      <c r="CD50" s="72"/>
      <c r="CE50" s="72"/>
      <c r="CF50" s="72"/>
      <c r="CG50" s="72"/>
      <c r="CH50" s="72"/>
      <c r="CI50" s="72"/>
      <c r="CJ50" s="72"/>
      <c r="CK50" s="70"/>
      <c r="CL50" s="70"/>
    </row>
    <row r="51" spans="1:90" x14ac:dyDescent="0.3">
      <c r="A51" s="48">
        <f>'EINGABEN EINZELWERTE'!C8</f>
        <v>0</v>
      </c>
      <c r="B51" s="45" t="str">
        <f t="shared" si="52"/>
        <v/>
      </c>
      <c r="C51" s="48">
        <f>IF((B51=""),MAX(B9:B108),B51)</f>
        <v>20000</v>
      </c>
      <c r="D51" s="45">
        <f>SMALL(C9:C108,43)</f>
        <v>20000</v>
      </c>
      <c r="E51" s="45">
        <f>LARGE(C9:C108,43)</f>
        <v>20000</v>
      </c>
      <c r="F51" s="49">
        <f>IF(Q6=1,D51,-E51)</f>
        <v>-20000</v>
      </c>
      <c r="G51" s="49">
        <f t="shared" si="53"/>
        <v>0.11251763361691523</v>
      </c>
      <c r="H51" s="49">
        <f t="shared" si="11"/>
        <v>0.10731709395383104</v>
      </c>
      <c r="I51" s="45"/>
      <c r="J51" s="45">
        <f>IF(Q6=1,D51,D51)</f>
        <v>20000</v>
      </c>
      <c r="K51" s="45">
        <f t="shared" si="12"/>
        <v>0.88748236638308475</v>
      </c>
      <c r="L51" s="45">
        <f t="shared" si="13"/>
        <v>0.89268290604616896</v>
      </c>
      <c r="M51" s="45">
        <f t="shared" si="54"/>
        <v>0.69871771847211805</v>
      </c>
      <c r="N51" s="48"/>
      <c r="O51" s="68"/>
      <c r="P51" s="67"/>
      <c r="Q51" s="68"/>
      <c r="R51" s="68"/>
      <c r="S51" s="45">
        <f t="shared" si="55"/>
        <v>1</v>
      </c>
      <c r="T51" s="45">
        <f t="shared" si="56"/>
        <v>1</v>
      </c>
      <c r="U51" s="48">
        <f t="shared" si="14"/>
        <v>1.0000000822403709E-9</v>
      </c>
      <c r="V51" s="48">
        <f t="shared" si="15"/>
        <v>1.0000000822403709E-9</v>
      </c>
      <c r="W51" s="45">
        <f t="shared" si="16"/>
        <v>1.0000001644807486E-18</v>
      </c>
      <c r="X51" s="45">
        <f t="shared" si="17"/>
        <v>1.0000001644807486E-18</v>
      </c>
      <c r="Y51" s="45">
        <f t="shared" si="18"/>
        <v>1.0000001644807486E-18</v>
      </c>
      <c r="Z51" s="45"/>
      <c r="AA51" s="45">
        <f t="shared" si="57"/>
        <v>1</v>
      </c>
      <c r="AB51" s="45">
        <f t="shared" si="19"/>
        <v>1</v>
      </c>
      <c r="AC51" s="45">
        <f t="shared" si="20"/>
        <v>1.0000000822403709E-9</v>
      </c>
      <c r="AD51" s="45">
        <f t="shared" si="21"/>
        <v>1.0000000822403709E-9</v>
      </c>
      <c r="AE51" s="45">
        <f t="shared" si="22"/>
        <v>1.0000001644807486E-18</v>
      </c>
      <c r="AF51" s="45">
        <f t="shared" si="23"/>
        <v>1.0000001644807486E-18</v>
      </c>
      <c r="AG51" s="45">
        <f t="shared" si="24"/>
        <v>1.0000001644807486E-18</v>
      </c>
      <c r="AH51" s="45"/>
      <c r="AI51" s="45">
        <f t="shared" si="25"/>
        <v>1</v>
      </c>
      <c r="AJ51" s="45">
        <f t="shared" si="26"/>
        <v>1</v>
      </c>
      <c r="AK51" s="45">
        <f t="shared" si="27"/>
        <v>1.0000000822403709E-9</v>
      </c>
      <c r="AL51" s="45">
        <f t="shared" si="28"/>
        <v>1.0000000822403709E-9</v>
      </c>
      <c r="AM51" s="45">
        <f t="shared" si="29"/>
        <v>1.0000001644807486E-18</v>
      </c>
      <c r="AN51" s="45">
        <f t="shared" si="30"/>
        <v>1.0000001644807486E-18</v>
      </c>
      <c r="AO51" s="45">
        <f t="shared" si="31"/>
        <v>1.0000001644807486E-18</v>
      </c>
      <c r="AP51" s="45"/>
      <c r="AQ51" s="45">
        <f t="shared" si="32"/>
        <v>1</v>
      </c>
      <c r="AR51" s="45">
        <f t="shared" si="33"/>
        <v>1</v>
      </c>
      <c r="AS51" s="45">
        <f t="shared" si="34"/>
        <v>1.0000000822403709E-9</v>
      </c>
      <c r="AT51" s="45">
        <f t="shared" si="35"/>
        <v>1.0000000822403709E-9</v>
      </c>
      <c r="AU51" s="45">
        <f t="shared" si="36"/>
        <v>1.0000001644807486E-18</v>
      </c>
      <c r="AV51" s="45">
        <f t="shared" si="37"/>
        <v>1.0000001644807486E-18</v>
      </c>
      <c r="AW51" s="45">
        <f t="shared" si="38"/>
        <v>1.0000001644807486E-18</v>
      </c>
      <c r="AX51" s="45"/>
      <c r="AY51" s="45"/>
      <c r="AZ51" s="45"/>
      <c r="BA51" s="45" t="str">
        <f t="shared" si="39"/>
        <v/>
      </c>
      <c r="BB51" s="45" t="str">
        <f t="shared" si="40"/>
        <v/>
      </c>
      <c r="BC51" s="45" t="str">
        <f t="shared" si="41"/>
        <v/>
      </c>
      <c r="BD51" s="45" t="str">
        <f t="shared" si="42"/>
        <v/>
      </c>
      <c r="BE51" s="45" t="str">
        <f t="shared" si="58"/>
        <v/>
      </c>
      <c r="BF51" s="45" t="str">
        <f t="shared" si="59"/>
        <v/>
      </c>
      <c r="BG51" s="45" t="str">
        <f t="shared" si="43"/>
        <v/>
      </c>
      <c r="BH51" s="45"/>
      <c r="BI51" s="45">
        <f t="shared" si="51"/>
        <v>-20000</v>
      </c>
      <c r="BJ51" s="45">
        <f t="shared" si="44"/>
        <v>0.10731709395383104</v>
      </c>
      <c r="BK51" s="45">
        <f t="shared" si="45"/>
        <v>0.12021860531546985</v>
      </c>
      <c r="BL51" s="45">
        <f t="shared" si="46"/>
        <v>-2.1184434825408114</v>
      </c>
      <c r="BM51" s="45">
        <f t="shared" si="60"/>
        <v>42368.869650816225</v>
      </c>
      <c r="BN51" s="45">
        <f t="shared" si="61"/>
        <v>400000000</v>
      </c>
      <c r="BO51" s="45">
        <f t="shared" si="47"/>
        <v>4.487802788719641</v>
      </c>
      <c r="BP51" s="45"/>
      <c r="BQ51" s="45"/>
      <c r="BR51" s="50" t="str">
        <f>IF(B66="","",F51)</f>
        <v/>
      </c>
      <c r="BS51" s="50" t="str">
        <f>IF(B66="","",BJ51)</f>
        <v/>
      </c>
      <c r="BT51" s="50" t="str">
        <f t="shared" si="48"/>
        <v/>
      </c>
      <c r="BU51" s="50" t="str">
        <f t="shared" si="49"/>
        <v/>
      </c>
      <c r="BV51" s="50" t="str">
        <f t="shared" si="9"/>
        <v/>
      </c>
      <c r="BW51" s="50" t="str">
        <f t="shared" si="10"/>
        <v/>
      </c>
      <c r="BX51" s="50" t="str">
        <f t="shared" si="50"/>
        <v/>
      </c>
      <c r="BY51" s="45"/>
      <c r="BZ51" s="72"/>
      <c r="CA51" s="72"/>
      <c r="CB51" s="72"/>
      <c r="CC51" s="72"/>
      <c r="CD51" s="72"/>
      <c r="CE51" s="72"/>
      <c r="CF51" s="72"/>
      <c r="CG51" s="72"/>
      <c r="CH51" s="72"/>
      <c r="CI51" s="72"/>
      <c r="CJ51" s="72"/>
      <c r="CK51" s="70"/>
      <c r="CL51" s="70"/>
    </row>
    <row r="52" spans="1:90" x14ac:dyDescent="0.3">
      <c r="A52" s="48">
        <f>'EINGABEN EINZELWERTE'!C9</f>
        <v>0</v>
      </c>
      <c r="B52" s="45" t="str">
        <f t="shared" si="52"/>
        <v/>
      </c>
      <c r="C52" s="48">
        <f>IF((B52=""),MAX(B9:B108),B52)</f>
        <v>20000</v>
      </c>
      <c r="D52" s="45">
        <f>SMALL(C9:C108,44)</f>
        <v>20000</v>
      </c>
      <c r="E52" s="45">
        <f>LARGE(C9:C108,44)</f>
        <v>20000</v>
      </c>
      <c r="F52" s="49">
        <f>IF(Q6=1,D52,-E52)</f>
        <v>-20000</v>
      </c>
      <c r="G52" s="49">
        <f t="shared" si="53"/>
        <v>0.11251763361691523</v>
      </c>
      <c r="H52" s="49">
        <f t="shared" si="11"/>
        <v>0.10731709395383104</v>
      </c>
      <c r="I52" s="45"/>
      <c r="J52" s="45">
        <f>IF(Q6=1,D52,D52)</f>
        <v>20000</v>
      </c>
      <c r="K52" s="45">
        <f t="shared" si="12"/>
        <v>0.88748236638308475</v>
      </c>
      <c r="L52" s="45">
        <f t="shared" si="13"/>
        <v>0.89268290604616896</v>
      </c>
      <c r="M52" s="45">
        <f t="shared" si="54"/>
        <v>0.69871771847211805</v>
      </c>
      <c r="N52" s="48"/>
      <c r="O52" s="68"/>
      <c r="P52" s="67"/>
      <c r="Q52" s="68"/>
      <c r="R52" s="68"/>
      <c r="S52" s="45">
        <f t="shared" si="55"/>
        <v>1</v>
      </c>
      <c r="T52" s="45">
        <f t="shared" si="56"/>
        <v>1</v>
      </c>
      <c r="U52" s="48">
        <f t="shared" si="14"/>
        <v>1.0000000822403709E-9</v>
      </c>
      <c r="V52" s="48">
        <f t="shared" si="15"/>
        <v>1.0000000822403709E-9</v>
      </c>
      <c r="W52" s="45">
        <f t="shared" si="16"/>
        <v>1.0000001644807486E-18</v>
      </c>
      <c r="X52" s="45">
        <f t="shared" si="17"/>
        <v>1.0000001644807486E-18</v>
      </c>
      <c r="Y52" s="45">
        <f t="shared" si="18"/>
        <v>1.0000001644807486E-18</v>
      </c>
      <c r="Z52" s="45"/>
      <c r="AA52" s="45">
        <f t="shared" si="57"/>
        <v>1</v>
      </c>
      <c r="AB52" s="45">
        <f t="shared" si="19"/>
        <v>1</v>
      </c>
      <c r="AC52" s="45">
        <f t="shared" si="20"/>
        <v>1.0000000822403709E-9</v>
      </c>
      <c r="AD52" s="45">
        <f t="shared" si="21"/>
        <v>1.0000000822403709E-9</v>
      </c>
      <c r="AE52" s="45">
        <f t="shared" si="22"/>
        <v>1.0000001644807486E-18</v>
      </c>
      <c r="AF52" s="45">
        <f t="shared" si="23"/>
        <v>1.0000001644807486E-18</v>
      </c>
      <c r="AG52" s="45">
        <f t="shared" si="24"/>
        <v>1.0000001644807486E-18</v>
      </c>
      <c r="AH52" s="45"/>
      <c r="AI52" s="45">
        <f t="shared" si="25"/>
        <v>1</v>
      </c>
      <c r="AJ52" s="45">
        <f t="shared" si="26"/>
        <v>1</v>
      </c>
      <c r="AK52" s="45">
        <f t="shared" si="27"/>
        <v>1.0000000822403709E-9</v>
      </c>
      <c r="AL52" s="45">
        <f t="shared" si="28"/>
        <v>1.0000000822403709E-9</v>
      </c>
      <c r="AM52" s="45">
        <f t="shared" si="29"/>
        <v>1.0000001644807486E-18</v>
      </c>
      <c r="AN52" s="45">
        <f t="shared" si="30"/>
        <v>1.0000001644807486E-18</v>
      </c>
      <c r="AO52" s="45">
        <f t="shared" si="31"/>
        <v>1.0000001644807486E-18</v>
      </c>
      <c r="AP52" s="45"/>
      <c r="AQ52" s="45">
        <f t="shared" si="32"/>
        <v>1</v>
      </c>
      <c r="AR52" s="45">
        <f t="shared" si="33"/>
        <v>1</v>
      </c>
      <c r="AS52" s="45">
        <f t="shared" si="34"/>
        <v>1.0000000822403709E-9</v>
      </c>
      <c r="AT52" s="45">
        <f t="shared" si="35"/>
        <v>1.0000000822403709E-9</v>
      </c>
      <c r="AU52" s="45">
        <f t="shared" si="36"/>
        <v>1.0000001644807486E-18</v>
      </c>
      <c r="AV52" s="45">
        <f t="shared" si="37"/>
        <v>1.0000001644807486E-18</v>
      </c>
      <c r="AW52" s="45">
        <f t="shared" si="38"/>
        <v>1.0000001644807486E-18</v>
      </c>
      <c r="AX52" s="45"/>
      <c r="AY52" s="45"/>
      <c r="AZ52" s="45"/>
      <c r="BA52" s="45" t="str">
        <f t="shared" si="39"/>
        <v/>
      </c>
      <c r="BB52" s="45" t="str">
        <f t="shared" si="40"/>
        <v/>
      </c>
      <c r="BC52" s="45" t="str">
        <f t="shared" si="41"/>
        <v/>
      </c>
      <c r="BD52" s="45" t="str">
        <f t="shared" si="42"/>
        <v/>
      </c>
      <c r="BE52" s="45" t="str">
        <f t="shared" si="58"/>
        <v/>
      </c>
      <c r="BF52" s="45" t="str">
        <f t="shared" si="59"/>
        <v/>
      </c>
      <c r="BG52" s="45" t="str">
        <f t="shared" si="43"/>
        <v/>
      </c>
      <c r="BH52" s="45"/>
      <c r="BI52" s="45">
        <f t="shared" si="51"/>
        <v>-20000</v>
      </c>
      <c r="BJ52" s="45">
        <f t="shared" si="44"/>
        <v>0.10731709395383104</v>
      </c>
      <c r="BK52" s="45">
        <f t="shared" si="45"/>
        <v>0.12021860531546985</v>
      </c>
      <c r="BL52" s="45">
        <f t="shared" si="46"/>
        <v>-2.1184434825408114</v>
      </c>
      <c r="BM52" s="45">
        <f t="shared" si="60"/>
        <v>42368.869650816225</v>
      </c>
      <c r="BN52" s="45">
        <f t="shared" si="61"/>
        <v>400000000</v>
      </c>
      <c r="BO52" s="45">
        <f t="shared" si="47"/>
        <v>4.487802788719641</v>
      </c>
      <c r="BP52" s="45"/>
      <c r="BQ52" s="45"/>
      <c r="BR52" s="50" t="str">
        <f>IF(B65="","",F52)</f>
        <v/>
      </c>
      <c r="BS52" s="50" t="str">
        <f>IF(B65="","",BJ52)</f>
        <v/>
      </c>
      <c r="BT52" s="50" t="str">
        <f t="shared" si="48"/>
        <v/>
      </c>
      <c r="BU52" s="50" t="str">
        <f t="shared" si="49"/>
        <v/>
      </c>
      <c r="BV52" s="50" t="str">
        <f t="shared" si="9"/>
        <v/>
      </c>
      <c r="BW52" s="50" t="str">
        <f t="shared" si="10"/>
        <v/>
      </c>
      <c r="BX52" s="50" t="str">
        <f t="shared" si="50"/>
        <v/>
      </c>
      <c r="BY52" s="45"/>
      <c r="BZ52" s="72"/>
      <c r="CA52" s="72"/>
      <c r="CB52" s="72"/>
      <c r="CC52" s="72"/>
      <c r="CD52" s="72"/>
      <c r="CE52" s="72"/>
      <c r="CF52" s="72"/>
      <c r="CG52" s="72"/>
      <c r="CH52" s="72"/>
      <c r="CI52" s="72"/>
      <c r="CJ52" s="72"/>
      <c r="CK52" s="70"/>
      <c r="CL52" s="70"/>
    </row>
    <row r="53" spans="1:90" x14ac:dyDescent="0.3">
      <c r="A53" s="48">
        <f>'EINGABEN EINZELWERTE'!C10</f>
        <v>0</v>
      </c>
      <c r="B53" s="45" t="str">
        <f t="shared" si="52"/>
        <v/>
      </c>
      <c r="C53" s="48">
        <f>IF((B53=""),MAX(B9:B108),B53)</f>
        <v>20000</v>
      </c>
      <c r="D53" s="45">
        <f>SMALL(C9:C108,45)</f>
        <v>20000</v>
      </c>
      <c r="E53" s="45">
        <f>LARGE(C9:C108,45)</f>
        <v>20000</v>
      </c>
      <c r="F53" s="49">
        <f>IF(Q6=1,D53,-E53)</f>
        <v>-20000</v>
      </c>
      <c r="G53" s="49">
        <f t="shared" si="53"/>
        <v>0.11251763361691523</v>
      </c>
      <c r="H53" s="49">
        <f t="shared" si="11"/>
        <v>0.10731709395383104</v>
      </c>
      <c r="I53" s="45"/>
      <c r="J53" s="45">
        <f>IF(Q6=1,D53,D53)</f>
        <v>20000</v>
      </c>
      <c r="K53" s="45">
        <f t="shared" si="12"/>
        <v>0.88748236638308475</v>
      </c>
      <c r="L53" s="45">
        <f t="shared" si="13"/>
        <v>0.89268290604616896</v>
      </c>
      <c r="M53" s="45">
        <f t="shared" si="54"/>
        <v>0.69871771847211805</v>
      </c>
      <c r="N53" s="48"/>
      <c r="O53" s="68"/>
      <c r="P53" s="67"/>
      <c r="Q53" s="68"/>
      <c r="R53" s="68"/>
      <c r="S53" s="45">
        <f t="shared" si="55"/>
        <v>1</v>
      </c>
      <c r="T53" s="45">
        <f t="shared" si="56"/>
        <v>1</v>
      </c>
      <c r="U53" s="48">
        <f t="shared" si="14"/>
        <v>1.0000000822403709E-9</v>
      </c>
      <c r="V53" s="48">
        <f t="shared" si="15"/>
        <v>1.0000000822403709E-9</v>
      </c>
      <c r="W53" s="45">
        <f t="shared" si="16"/>
        <v>1.0000001644807486E-18</v>
      </c>
      <c r="X53" s="45">
        <f t="shared" si="17"/>
        <v>1.0000001644807486E-18</v>
      </c>
      <c r="Y53" s="45">
        <f t="shared" si="18"/>
        <v>1.0000001644807486E-18</v>
      </c>
      <c r="Z53" s="45"/>
      <c r="AA53" s="45">
        <f t="shared" si="57"/>
        <v>1</v>
      </c>
      <c r="AB53" s="45">
        <f t="shared" si="19"/>
        <v>1</v>
      </c>
      <c r="AC53" s="45">
        <f t="shared" si="20"/>
        <v>1.0000000822403709E-9</v>
      </c>
      <c r="AD53" s="45">
        <f t="shared" si="21"/>
        <v>1.0000000822403709E-9</v>
      </c>
      <c r="AE53" s="45">
        <f t="shared" si="22"/>
        <v>1.0000001644807486E-18</v>
      </c>
      <c r="AF53" s="45">
        <f t="shared" si="23"/>
        <v>1.0000001644807486E-18</v>
      </c>
      <c r="AG53" s="45">
        <f t="shared" si="24"/>
        <v>1.0000001644807486E-18</v>
      </c>
      <c r="AH53" s="45"/>
      <c r="AI53" s="45">
        <f t="shared" si="25"/>
        <v>1</v>
      </c>
      <c r="AJ53" s="45">
        <f t="shared" si="26"/>
        <v>1</v>
      </c>
      <c r="AK53" s="45">
        <f t="shared" si="27"/>
        <v>1.0000000822403709E-9</v>
      </c>
      <c r="AL53" s="45">
        <f t="shared" si="28"/>
        <v>1.0000000822403709E-9</v>
      </c>
      <c r="AM53" s="45">
        <f t="shared" si="29"/>
        <v>1.0000001644807486E-18</v>
      </c>
      <c r="AN53" s="45">
        <f t="shared" si="30"/>
        <v>1.0000001644807486E-18</v>
      </c>
      <c r="AO53" s="45">
        <f t="shared" si="31"/>
        <v>1.0000001644807486E-18</v>
      </c>
      <c r="AP53" s="45"/>
      <c r="AQ53" s="45">
        <f t="shared" si="32"/>
        <v>1</v>
      </c>
      <c r="AR53" s="45">
        <f t="shared" si="33"/>
        <v>1</v>
      </c>
      <c r="AS53" s="45">
        <f t="shared" si="34"/>
        <v>1.0000000822403709E-9</v>
      </c>
      <c r="AT53" s="45">
        <f t="shared" si="35"/>
        <v>1.0000000822403709E-9</v>
      </c>
      <c r="AU53" s="45">
        <f t="shared" si="36"/>
        <v>1.0000001644807486E-18</v>
      </c>
      <c r="AV53" s="45">
        <f t="shared" si="37"/>
        <v>1.0000001644807486E-18</v>
      </c>
      <c r="AW53" s="45">
        <f t="shared" si="38"/>
        <v>1.0000001644807486E-18</v>
      </c>
      <c r="AX53" s="45"/>
      <c r="AY53" s="45"/>
      <c r="AZ53" s="45"/>
      <c r="BA53" s="45" t="str">
        <f t="shared" si="39"/>
        <v/>
      </c>
      <c r="BB53" s="45" t="str">
        <f t="shared" si="40"/>
        <v/>
      </c>
      <c r="BC53" s="45" t="str">
        <f t="shared" si="41"/>
        <v/>
      </c>
      <c r="BD53" s="45" t="str">
        <f t="shared" si="42"/>
        <v/>
      </c>
      <c r="BE53" s="45" t="str">
        <f t="shared" si="58"/>
        <v/>
      </c>
      <c r="BF53" s="45" t="str">
        <f t="shared" si="59"/>
        <v/>
      </c>
      <c r="BG53" s="45" t="str">
        <f t="shared" si="43"/>
        <v/>
      </c>
      <c r="BH53" s="45"/>
      <c r="BI53" s="45">
        <f t="shared" si="51"/>
        <v>-20000</v>
      </c>
      <c r="BJ53" s="45">
        <f t="shared" si="44"/>
        <v>0.10731709395383104</v>
      </c>
      <c r="BK53" s="45">
        <f t="shared" si="45"/>
        <v>0.12021860531546985</v>
      </c>
      <c r="BL53" s="45">
        <f t="shared" si="46"/>
        <v>-2.1184434825408114</v>
      </c>
      <c r="BM53" s="45">
        <f t="shared" si="60"/>
        <v>42368.869650816225</v>
      </c>
      <c r="BN53" s="45">
        <f t="shared" si="61"/>
        <v>400000000</v>
      </c>
      <c r="BO53" s="45">
        <f t="shared" si="47"/>
        <v>4.487802788719641</v>
      </c>
      <c r="BP53" s="45"/>
      <c r="BQ53" s="45"/>
      <c r="BR53" s="50" t="str">
        <f>IF(B64="","",F53)</f>
        <v/>
      </c>
      <c r="BS53" s="50" t="str">
        <f>IF(B64="","",BJ53)</f>
        <v/>
      </c>
      <c r="BT53" s="50" t="str">
        <f t="shared" si="48"/>
        <v/>
      </c>
      <c r="BU53" s="50" t="str">
        <f t="shared" si="49"/>
        <v/>
      </c>
      <c r="BV53" s="50" t="str">
        <f t="shared" si="9"/>
        <v/>
      </c>
      <c r="BW53" s="50" t="str">
        <f t="shared" si="10"/>
        <v/>
      </c>
      <c r="BX53" s="50" t="str">
        <f t="shared" si="50"/>
        <v/>
      </c>
      <c r="BY53" s="45"/>
      <c r="BZ53" s="72"/>
      <c r="CA53" s="72"/>
      <c r="CB53" s="72"/>
      <c r="CC53" s="72"/>
      <c r="CD53" s="72"/>
      <c r="CE53" s="72"/>
      <c r="CF53" s="72"/>
      <c r="CG53" s="72"/>
      <c r="CH53" s="72"/>
      <c r="CI53" s="72"/>
      <c r="CJ53" s="72"/>
      <c r="CK53" s="70"/>
      <c r="CL53" s="70"/>
    </row>
    <row r="54" spans="1:90" x14ac:dyDescent="0.3">
      <c r="A54" s="48">
        <f>'EINGABEN EINZELWERTE'!C11</f>
        <v>0</v>
      </c>
      <c r="B54" s="45" t="str">
        <f t="shared" si="52"/>
        <v/>
      </c>
      <c r="C54" s="48">
        <f>IF((B54=""),MAX(B9:B108),B54)</f>
        <v>20000</v>
      </c>
      <c r="D54" s="45">
        <f>SMALL(C9:C108,46)</f>
        <v>20000</v>
      </c>
      <c r="E54" s="45">
        <f>LARGE(C9:C108,46)</f>
        <v>20000</v>
      </c>
      <c r="F54" s="49">
        <f>IF(Q6=1,D54,-E54)</f>
        <v>-20000</v>
      </c>
      <c r="G54" s="49">
        <f t="shared" si="53"/>
        <v>0.11251763361691523</v>
      </c>
      <c r="H54" s="49">
        <f t="shared" si="11"/>
        <v>0.10731709395383104</v>
      </c>
      <c r="I54" s="45"/>
      <c r="J54" s="45">
        <f>IF(Q6=1,D54,D54)</f>
        <v>20000</v>
      </c>
      <c r="K54" s="45">
        <f t="shared" si="12"/>
        <v>0.88748236638308475</v>
      </c>
      <c r="L54" s="45">
        <f t="shared" si="13"/>
        <v>0.89268290604616896</v>
      </c>
      <c r="M54" s="45">
        <f t="shared" si="54"/>
        <v>0.69871771847211805</v>
      </c>
      <c r="N54" s="48"/>
      <c r="O54" s="68"/>
      <c r="P54" s="67"/>
      <c r="Q54" s="68"/>
      <c r="R54" s="68"/>
      <c r="S54" s="45">
        <f t="shared" si="55"/>
        <v>1</v>
      </c>
      <c r="T54" s="45">
        <f t="shared" si="56"/>
        <v>1</v>
      </c>
      <c r="U54" s="48">
        <f t="shared" si="14"/>
        <v>1.0000000822403709E-9</v>
      </c>
      <c r="V54" s="48">
        <f t="shared" si="15"/>
        <v>1.0000000822403709E-9</v>
      </c>
      <c r="W54" s="45">
        <f t="shared" si="16"/>
        <v>1.0000001644807486E-18</v>
      </c>
      <c r="X54" s="45">
        <f t="shared" si="17"/>
        <v>1.0000001644807486E-18</v>
      </c>
      <c r="Y54" s="45">
        <f t="shared" si="18"/>
        <v>1.0000001644807486E-18</v>
      </c>
      <c r="Z54" s="45"/>
      <c r="AA54" s="45">
        <f t="shared" si="57"/>
        <v>1</v>
      </c>
      <c r="AB54" s="45">
        <f t="shared" si="19"/>
        <v>1</v>
      </c>
      <c r="AC54" s="45">
        <f t="shared" si="20"/>
        <v>1.0000000822403709E-9</v>
      </c>
      <c r="AD54" s="45">
        <f t="shared" si="21"/>
        <v>1.0000000822403709E-9</v>
      </c>
      <c r="AE54" s="45">
        <f t="shared" si="22"/>
        <v>1.0000001644807486E-18</v>
      </c>
      <c r="AF54" s="45">
        <f t="shared" si="23"/>
        <v>1.0000001644807486E-18</v>
      </c>
      <c r="AG54" s="45">
        <f t="shared" si="24"/>
        <v>1.0000001644807486E-18</v>
      </c>
      <c r="AH54" s="45"/>
      <c r="AI54" s="45">
        <f t="shared" si="25"/>
        <v>1</v>
      </c>
      <c r="AJ54" s="45">
        <f t="shared" si="26"/>
        <v>1</v>
      </c>
      <c r="AK54" s="45">
        <f t="shared" si="27"/>
        <v>1.0000000822403709E-9</v>
      </c>
      <c r="AL54" s="45">
        <f t="shared" si="28"/>
        <v>1.0000000822403709E-9</v>
      </c>
      <c r="AM54" s="45">
        <f t="shared" si="29"/>
        <v>1.0000001644807486E-18</v>
      </c>
      <c r="AN54" s="45">
        <f t="shared" si="30"/>
        <v>1.0000001644807486E-18</v>
      </c>
      <c r="AO54" s="45">
        <f t="shared" si="31"/>
        <v>1.0000001644807486E-18</v>
      </c>
      <c r="AP54" s="45"/>
      <c r="AQ54" s="45">
        <f t="shared" si="32"/>
        <v>1</v>
      </c>
      <c r="AR54" s="45">
        <f t="shared" si="33"/>
        <v>1</v>
      </c>
      <c r="AS54" s="45">
        <f t="shared" si="34"/>
        <v>1.0000000822403709E-9</v>
      </c>
      <c r="AT54" s="45">
        <f t="shared" si="35"/>
        <v>1.0000000822403709E-9</v>
      </c>
      <c r="AU54" s="45">
        <f t="shared" si="36"/>
        <v>1.0000001644807486E-18</v>
      </c>
      <c r="AV54" s="45">
        <f t="shared" si="37"/>
        <v>1.0000001644807486E-18</v>
      </c>
      <c r="AW54" s="45">
        <f t="shared" si="38"/>
        <v>1.0000001644807486E-18</v>
      </c>
      <c r="AX54" s="45"/>
      <c r="AY54" s="45"/>
      <c r="AZ54" s="45"/>
      <c r="BA54" s="45" t="str">
        <f t="shared" si="39"/>
        <v/>
      </c>
      <c r="BB54" s="45" t="str">
        <f t="shared" si="40"/>
        <v/>
      </c>
      <c r="BC54" s="45" t="str">
        <f t="shared" si="41"/>
        <v/>
      </c>
      <c r="BD54" s="45" t="str">
        <f t="shared" si="42"/>
        <v/>
      </c>
      <c r="BE54" s="45" t="str">
        <f t="shared" si="58"/>
        <v/>
      </c>
      <c r="BF54" s="45" t="str">
        <f t="shared" si="59"/>
        <v/>
      </c>
      <c r="BG54" s="45" t="str">
        <f t="shared" si="43"/>
        <v/>
      </c>
      <c r="BH54" s="45"/>
      <c r="BI54" s="45">
        <f t="shared" si="51"/>
        <v>-20000</v>
      </c>
      <c r="BJ54" s="45">
        <f t="shared" si="44"/>
        <v>0.10731709395383104</v>
      </c>
      <c r="BK54" s="45">
        <f t="shared" si="45"/>
        <v>0.12021860531546985</v>
      </c>
      <c r="BL54" s="45">
        <f t="shared" si="46"/>
        <v>-2.1184434825408114</v>
      </c>
      <c r="BM54" s="45">
        <f t="shared" si="60"/>
        <v>42368.869650816225</v>
      </c>
      <c r="BN54" s="45">
        <f t="shared" si="61"/>
        <v>400000000</v>
      </c>
      <c r="BO54" s="45">
        <f t="shared" si="47"/>
        <v>4.487802788719641</v>
      </c>
      <c r="BP54" s="45"/>
      <c r="BQ54" s="45"/>
      <c r="BR54" s="50" t="str">
        <f>IF(B63="","",F54)</f>
        <v/>
      </c>
      <c r="BS54" s="50" t="str">
        <f>IF(B63="","",BJ54)</f>
        <v/>
      </c>
      <c r="BT54" s="50" t="str">
        <f t="shared" si="48"/>
        <v/>
      </c>
      <c r="BU54" s="50" t="str">
        <f t="shared" si="49"/>
        <v/>
      </c>
      <c r="BV54" s="50" t="str">
        <f t="shared" si="9"/>
        <v/>
      </c>
      <c r="BW54" s="50" t="str">
        <f t="shared" si="10"/>
        <v/>
      </c>
      <c r="BX54" s="50" t="str">
        <f t="shared" si="50"/>
        <v/>
      </c>
      <c r="BY54" s="45"/>
      <c r="BZ54" s="72"/>
      <c r="CA54" s="72"/>
      <c r="CB54" s="72"/>
      <c r="CC54" s="72"/>
      <c r="CD54" s="72"/>
      <c r="CE54" s="72"/>
      <c r="CF54" s="72"/>
      <c r="CG54" s="72"/>
      <c r="CH54" s="72"/>
      <c r="CI54" s="72"/>
      <c r="CJ54" s="72"/>
      <c r="CK54" s="70"/>
      <c r="CL54" s="70"/>
    </row>
    <row r="55" spans="1:90" x14ac:dyDescent="0.3">
      <c r="A55" s="48">
        <f>'EINGABEN EINZELWERTE'!C12</f>
        <v>0</v>
      </c>
      <c r="B55" s="45" t="str">
        <f t="shared" si="52"/>
        <v/>
      </c>
      <c r="C55" s="48">
        <f>IF((B55=""),MAX(B9:B108),B55)</f>
        <v>20000</v>
      </c>
      <c r="D55" s="45">
        <f>SMALL(C9:C108,47)</f>
        <v>20000</v>
      </c>
      <c r="E55" s="45">
        <f>LARGE(C9:C108,47)</f>
        <v>20000</v>
      </c>
      <c r="F55" s="49">
        <f>IF(Q6=1,D55,-E55)</f>
        <v>-20000</v>
      </c>
      <c r="G55" s="49">
        <f t="shared" si="53"/>
        <v>0.11251763361691523</v>
      </c>
      <c r="H55" s="49">
        <f t="shared" si="11"/>
        <v>0.10731709395383104</v>
      </c>
      <c r="I55" s="45"/>
      <c r="J55" s="45">
        <f>IF(Q6=1,D55,D55)</f>
        <v>20000</v>
      </c>
      <c r="K55" s="45">
        <f t="shared" si="12"/>
        <v>0.88748236638308475</v>
      </c>
      <c r="L55" s="45">
        <f t="shared" si="13"/>
        <v>0.89268290604616896</v>
      </c>
      <c r="M55" s="45">
        <f t="shared" si="54"/>
        <v>0.69871771847211805</v>
      </c>
      <c r="N55" s="48"/>
      <c r="O55" s="68"/>
      <c r="P55" s="67"/>
      <c r="Q55" s="68"/>
      <c r="R55" s="68"/>
      <c r="S55" s="45">
        <f t="shared" si="55"/>
        <v>1</v>
      </c>
      <c r="T55" s="45">
        <f t="shared" si="56"/>
        <v>1</v>
      </c>
      <c r="U55" s="48">
        <f t="shared" si="14"/>
        <v>1.0000000822403709E-9</v>
      </c>
      <c r="V55" s="48">
        <f t="shared" si="15"/>
        <v>1.0000000822403709E-9</v>
      </c>
      <c r="W55" s="45">
        <f t="shared" si="16"/>
        <v>1.0000001644807486E-18</v>
      </c>
      <c r="X55" s="45">
        <f t="shared" si="17"/>
        <v>1.0000001644807486E-18</v>
      </c>
      <c r="Y55" s="45">
        <f t="shared" si="18"/>
        <v>1.0000001644807486E-18</v>
      </c>
      <c r="Z55" s="45"/>
      <c r="AA55" s="45">
        <f t="shared" si="57"/>
        <v>1</v>
      </c>
      <c r="AB55" s="45">
        <f t="shared" si="19"/>
        <v>1</v>
      </c>
      <c r="AC55" s="45">
        <f t="shared" si="20"/>
        <v>1.0000000822403709E-9</v>
      </c>
      <c r="AD55" s="45">
        <f t="shared" si="21"/>
        <v>1.0000000822403709E-9</v>
      </c>
      <c r="AE55" s="45">
        <f t="shared" si="22"/>
        <v>1.0000001644807486E-18</v>
      </c>
      <c r="AF55" s="45">
        <f t="shared" si="23"/>
        <v>1.0000001644807486E-18</v>
      </c>
      <c r="AG55" s="45">
        <f t="shared" si="24"/>
        <v>1.0000001644807486E-18</v>
      </c>
      <c r="AH55" s="45"/>
      <c r="AI55" s="45">
        <f t="shared" si="25"/>
        <v>1</v>
      </c>
      <c r="AJ55" s="45">
        <f t="shared" si="26"/>
        <v>1</v>
      </c>
      <c r="AK55" s="45">
        <f t="shared" si="27"/>
        <v>1.0000000822403709E-9</v>
      </c>
      <c r="AL55" s="45">
        <f t="shared" si="28"/>
        <v>1.0000000822403709E-9</v>
      </c>
      <c r="AM55" s="45">
        <f t="shared" si="29"/>
        <v>1.0000001644807486E-18</v>
      </c>
      <c r="AN55" s="45">
        <f t="shared" si="30"/>
        <v>1.0000001644807486E-18</v>
      </c>
      <c r="AO55" s="45">
        <f t="shared" si="31"/>
        <v>1.0000001644807486E-18</v>
      </c>
      <c r="AP55" s="45"/>
      <c r="AQ55" s="45">
        <f t="shared" si="32"/>
        <v>1</v>
      </c>
      <c r="AR55" s="45">
        <f t="shared" si="33"/>
        <v>1</v>
      </c>
      <c r="AS55" s="45">
        <f t="shared" si="34"/>
        <v>1.0000000822403709E-9</v>
      </c>
      <c r="AT55" s="45">
        <f t="shared" si="35"/>
        <v>1.0000000822403709E-9</v>
      </c>
      <c r="AU55" s="45">
        <f t="shared" si="36"/>
        <v>1.0000001644807486E-18</v>
      </c>
      <c r="AV55" s="45">
        <f t="shared" si="37"/>
        <v>1.0000001644807486E-18</v>
      </c>
      <c r="AW55" s="45">
        <f t="shared" si="38"/>
        <v>1.0000001644807486E-18</v>
      </c>
      <c r="AX55" s="45"/>
      <c r="AY55" s="45"/>
      <c r="AZ55" s="45"/>
      <c r="BA55" s="45" t="str">
        <f t="shared" si="39"/>
        <v/>
      </c>
      <c r="BB55" s="45" t="str">
        <f t="shared" si="40"/>
        <v/>
      </c>
      <c r="BC55" s="45" t="str">
        <f t="shared" si="41"/>
        <v/>
      </c>
      <c r="BD55" s="45" t="str">
        <f t="shared" si="42"/>
        <v/>
      </c>
      <c r="BE55" s="45" t="str">
        <f t="shared" si="58"/>
        <v/>
      </c>
      <c r="BF55" s="45" t="str">
        <f t="shared" si="59"/>
        <v/>
      </c>
      <c r="BG55" s="45" t="str">
        <f t="shared" si="43"/>
        <v/>
      </c>
      <c r="BH55" s="45"/>
      <c r="BI55" s="45">
        <f t="shared" si="51"/>
        <v>-20000</v>
      </c>
      <c r="BJ55" s="45">
        <f t="shared" si="44"/>
        <v>0.10731709395383104</v>
      </c>
      <c r="BK55" s="45">
        <f t="shared" si="45"/>
        <v>0.12021860531546985</v>
      </c>
      <c r="BL55" s="45">
        <f t="shared" si="46"/>
        <v>-2.1184434825408114</v>
      </c>
      <c r="BM55" s="45">
        <f t="shared" si="60"/>
        <v>42368.869650816225</v>
      </c>
      <c r="BN55" s="45">
        <f t="shared" si="61"/>
        <v>400000000</v>
      </c>
      <c r="BO55" s="45">
        <f t="shared" si="47"/>
        <v>4.487802788719641</v>
      </c>
      <c r="BP55" s="45"/>
      <c r="BQ55" s="45"/>
      <c r="BR55" s="50" t="str">
        <f>IF(B62="","",F55)</f>
        <v/>
      </c>
      <c r="BS55" s="50" t="str">
        <f>IF(B62="","",BJ55)</f>
        <v/>
      </c>
      <c r="BT55" s="50" t="str">
        <f t="shared" si="48"/>
        <v/>
      </c>
      <c r="BU55" s="50" t="str">
        <f t="shared" si="49"/>
        <v/>
      </c>
      <c r="BV55" s="50" t="str">
        <f t="shared" si="9"/>
        <v/>
      </c>
      <c r="BW55" s="50" t="str">
        <f t="shared" si="10"/>
        <v/>
      </c>
      <c r="BX55" s="50" t="str">
        <f t="shared" si="50"/>
        <v/>
      </c>
      <c r="BY55" s="45"/>
      <c r="BZ55" s="72"/>
      <c r="CA55" s="72"/>
      <c r="CB55" s="72"/>
      <c r="CC55" s="72"/>
      <c r="CD55" s="72"/>
      <c r="CE55" s="72"/>
      <c r="CF55" s="72"/>
      <c r="CG55" s="72"/>
      <c r="CH55" s="72"/>
      <c r="CI55" s="72"/>
      <c r="CJ55" s="72"/>
      <c r="CK55" s="70"/>
      <c r="CL55" s="70"/>
    </row>
    <row r="56" spans="1:90" x14ac:dyDescent="0.3">
      <c r="A56" s="48">
        <f>'EINGABEN EINZELWERTE'!C13</f>
        <v>0</v>
      </c>
      <c r="B56" s="45" t="str">
        <f t="shared" si="52"/>
        <v/>
      </c>
      <c r="C56" s="48">
        <f>IF((B56=""),MAX(B9:B108),B56)</f>
        <v>20000</v>
      </c>
      <c r="D56" s="45">
        <f>SMALL(C9:C108,48)</f>
        <v>20000</v>
      </c>
      <c r="E56" s="45">
        <f>LARGE(C9:C108,48)</f>
        <v>20000</v>
      </c>
      <c r="F56" s="49">
        <f>IF(Q6=1,D56,-E56)</f>
        <v>-20000</v>
      </c>
      <c r="G56" s="49">
        <f t="shared" si="53"/>
        <v>0.11251763361691523</v>
      </c>
      <c r="H56" s="49">
        <f t="shared" si="11"/>
        <v>0.10731709395383104</v>
      </c>
      <c r="I56" s="45"/>
      <c r="J56" s="45">
        <f>IF(Q6=1,D56,D56)</f>
        <v>20000</v>
      </c>
      <c r="K56" s="45">
        <f t="shared" si="12"/>
        <v>0.88748236638308475</v>
      </c>
      <c r="L56" s="45">
        <f t="shared" si="13"/>
        <v>0.89268290604616896</v>
      </c>
      <c r="M56" s="45">
        <f t="shared" si="54"/>
        <v>0.69871771847211805</v>
      </c>
      <c r="N56" s="48"/>
      <c r="O56" s="68"/>
      <c r="P56" s="67"/>
      <c r="Q56" s="68"/>
      <c r="R56" s="68"/>
      <c r="S56" s="45">
        <f t="shared" si="55"/>
        <v>1</v>
      </c>
      <c r="T56" s="45">
        <f t="shared" si="56"/>
        <v>1</v>
      </c>
      <c r="U56" s="48">
        <f t="shared" si="14"/>
        <v>1.0000000822403709E-9</v>
      </c>
      <c r="V56" s="48">
        <f t="shared" si="15"/>
        <v>1.0000000822403709E-9</v>
      </c>
      <c r="W56" s="45">
        <f t="shared" si="16"/>
        <v>1.0000001644807486E-18</v>
      </c>
      <c r="X56" s="45">
        <f t="shared" si="17"/>
        <v>1.0000001644807486E-18</v>
      </c>
      <c r="Y56" s="45">
        <f t="shared" si="18"/>
        <v>1.0000001644807486E-18</v>
      </c>
      <c r="Z56" s="45"/>
      <c r="AA56" s="45">
        <f t="shared" si="57"/>
        <v>1</v>
      </c>
      <c r="AB56" s="45">
        <f t="shared" si="19"/>
        <v>1</v>
      </c>
      <c r="AC56" s="45">
        <f t="shared" si="20"/>
        <v>1.0000000822403709E-9</v>
      </c>
      <c r="AD56" s="45">
        <f t="shared" si="21"/>
        <v>1.0000000822403709E-9</v>
      </c>
      <c r="AE56" s="45">
        <f t="shared" si="22"/>
        <v>1.0000001644807486E-18</v>
      </c>
      <c r="AF56" s="45">
        <f t="shared" si="23"/>
        <v>1.0000001644807486E-18</v>
      </c>
      <c r="AG56" s="45">
        <f t="shared" si="24"/>
        <v>1.0000001644807486E-18</v>
      </c>
      <c r="AH56" s="45"/>
      <c r="AI56" s="45">
        <f t="shared" si="25"/>
        <v>1</v>
      </c>
      <c r="AJ56" s="45">
        <f t="shared" si="26"/>
        <v>1</v>
      </c>
      <c r="AK56" s="45">
        <f t="shared" si="27"/>
        <v>1.0000000822403709E-9</v>
      </c>
      <c r="AL56" s="45">
        <f t="shared" si="28"/>
        <v>1.0000000822403709E-9</v>
      </c>
      <c r="AM56" s="45">
        <f t="shared" si="29"/>
        <v>1.0000001644807486E-18</v>
      </c>
      <c r="AN56" s="45">
        <f t="shared" si="30"/>
        <v>1.0000001644807486E-18</v>
      </c>
      <c r="AO56" s="45">
        <f t="shared" si="31"/>
        <v>1.0000001644807486E-18</v>
      </c>
      <c r="AP56" s="45"/>
      <c r="AQ56" s="45">
        <f t="shared" si="32"/>
        <v>1</v>
      </c>
      <c r="AR56" s="45">
        <f t="shared" si="33"/>
        <v>1</v>
      </c>
      <c r="AS56" s="45">
        <f t="shared" si="34"/>
        <v>1.0000000822403709E-9</v>
      </c>
      <c r="AT56" s="45">
        <f t="shared" si="35"/>
        <v>1.0000000822403709E-9</v>
      </c>
      <c r="AU56" s="45">
        <f t="shared" si="36"/>
        <v>1.0000001644807486E-18</v>
      </c>
      <c r="AV56" s="45">
        <f t="shared" si="37"/>
        <v>1.0000001644807486E-18</v>
      </c>
      <c r="AW56" s="45">
        <f t="shared" si="38"/>
        <v>1.0000001644807486E-18</v>
      </c>
      <c r="AX56" s="45"/>
      <c r="AY56" s="45"/>
      <c r="AZ56" s="45"/>
      <c r="BA56" s="45" t="str">
        <f t="shared" si="39"/>
        <v/>
      </c>
      <c r="BB56" s="45" t="str">
        <f t="shared" si="40"/>
        <v/>
      </c>
      <c r="BC56" s="45" t="str">
        <f t="shared" si="41"/>
        <v/>
      </c>
      <c r="BD56" s="45" t="str">
        <f t="shared" si="42"/>
        <v/>
      </c>
      <c r="BE56" s="45" t="str">
        <f t="shared" si="58"/>
        <v/>
      </c>
      <c r="BF56" s="45" t="str">
        <f t="shared" si="59"/>
        <v/>
      </c>
      <c r="BG56" s="45" t="str">
        <f t="shared" si="43"/>
        <v/>
      </c>
      <c r="BH56" s="45"/>
      <c r="BI56" s="45">
        <f t="shared" si="51"/>
        <v>-20000</v>
      </c>
      <c r="BJ56" s="45">
        <f t="shared" si="44"/>
        <v>0.10731709395383104</v>
      </c>
      <c r="BK56" s="45">
        <f t="shared" si="45"/>
        <v>0.12021860531546985</v>
      </c>
      <c r="BL56" s="45">
        <f t="shared" si="46"/>
        <v>-2.1184434825408114</v>
      </c>
      <c r="BM56" s="45">
        <f t="shared" si="60"/>
        <v>42368.869650816225</v>
      </c>
      <c r="BN56" s="45">
        <f t="shared" si="61"/>
        <v>400000000</v>
      </c>
      <c r="BO56" s="45">
        <f t="shared" si="47"/>
        <v>4.487802788719641</v>
      </c>
      <c r="BP56" s="45"/>
      <c r="BQ56" s="45"/>
      <c r="BR56" s="50" t="str">
        <f>IF(B61="","",F56)</f>
        <v/>
      </c>
      <c r="BS56" s="50" t="str">
        <f>IF(B61="","",BJ56)</f>
        <v/>
      </c>
      <c r="BT56" s="50" t="str">
        <f t="shared" si="48"/>
        <v/>
      </c>
      <c r="BU56" s="50" t="str">
        <f t="shared" si="49"/>
        <v/>
      </c>
      <c r="BV56" s="50" t="str">
        <f t="shared" si="9"/>
        <v/>
      </c>
      <c r="BW56" s="50" t="str">
        <f t="shared" si="10"/>
        <v/>
      </c>
      <c r="BX56" s="50" t="str">
        <f t="shared" si="50"/>
        <v/>
      </c>
      <c r="BY56" s="45"/>
      <c r="BZ56" s="72"/>
      <c r="CA56" s="72"/>
      <c r="CB56" s="72"/>
      <c r="CC56" s="72"/>
      <c r="CD56" s="72"/>
      <c r="CE56" s="72"/>
      <c r="CF56" s="72"/>
      <c r="CG56" s="72"/>
      <c r="CH56" s="72"/>
      <c r="CI56" s="72"/>
      <c r="CJ56" s="72"/>
      <c r="CK56" s="70"/>
      <c r="CL56" s="70"/>
    </row>
    <row r="57" spans="1:90" x14ac:dyDescent="0.3">
      <c r="A57" s="48">
        <f>'EINGABEN EINZELWERTE'!C14</f>
        <v>0</v>
      </c>
      <c r="B57" s="45" t="str">
        <f t="shared" si="52"/>
        <v/>
      </c>
      <c r="C57" s="48">
        <f>IF((B57=""),MAX(B9:B108),B57)</f>
        <v>20000</v>
      </c>
      <c r="D57" s="45">
        <f>SMALL(C9:C108,49)</f>
        <v>20000</v>
      </c>
      <c r="E57" s="45">
        <f>LARGE(C9:C108,49)</f>
        <v>20000</v>
      </c>
      <c r="F57" s="49">
        <f>IF(Q6=1,D57,-E57)</f>
        <v>-20000</v>
      </c>
      <c r="G57" s="49">
        <f t="shared" si="53"/>
        <v>0.11251763361691523</v>
      </c>
      <c r="H57" s="49">
        <f t="shared" si="11"/>
        <v>0.10731709395383104</v>
      </c>
      <c r="I57" s="45"/>
      <c r="J57" s="45">
        <f>IF(Q6=1,D57,D57)</f>
        <v>20000</v>
      </c>
      <c r="K57" s="45">
        <f t="shared" si="12"/>
        <v>0.88748236638308475</v>
      </c>
      <c r="L57" s="45">
        <f t="shared" si="13"/>
        <v>0.89268290604616896</v>
      </c>
      <c r="M57" s="45">
        <f t="shared" si="54"/>
        <v>0.69871771847211805</v>
      </c>
      <c r="N57" s="48"/>
      <c r="O57" s="68"/>
      <c r="P57" s="67"/>
      <c r="Q57" s="68"/>
      <c r="R57" s="68"/>
      <c r="S57" s="45">
        <f t="shared" si="55"/>
        <v>1</v>
      </c>
      <c r="T57" s="45">
        <f t="shared" si="56"/>
        <v>1</v>
      </c>
      <c r="U57" s="48">
        <f t="shared" si="14"/>
        <v>1.0000000822403709E-9</v>
      </c>
      <c r="V57" s="48">
        <f t="shared" si="15"/>
        <v>1.0000000822403709E-9</v>
      </c>
      <c r="W57" s="45">
        <f t="shared" si="16"/>
        <v>1.0000001644807486E-18</v>
      </c>
      <c r="X57" s="45">
        <f t="shared" si="17"/>
        <v>1.0000001644807486E-18</v>
      </c>
      <c r="Y57" s="45">
        <f t="shared" si="18"/>
        <v>1.0000001644807486E-18</v>
      </c>
      <c r="Z57" s="45"/>
      <c r="AA57" s="45">
        <f t="shared" si="57"/>
        <v>1</v>
      </c>
      <c r="AB57" s="45">
        <f t="shared" si="19"/>
        <v>1</v>
      </c>
      <c r="AC57" s="45">
        <f t="shared" si="20"/>
        <v>1.0000000822403709E-9</v>
      </c>
      <c r="AD57" s="45">
        <f t="shared" si="21"/>
        <v>1.0000000822403709E-9</v>
      </c>
      <c r="AE57" s="45">
        <f t="shared" si="22"/>
        <v>1.0000001644807486E-18</v>
      </c>
      <c r="AF57" s="45">
        <f t="shared" si="23"/>
        <v>1.0000001644807486E-18</v>
      </c>
      <c r="AG57" s="45">
        <f t="shared" si="24"/>
        <v>1.0000001644807486E-18</v>
      </c>
      <c r="AH57" s="45"/>
      <c r="AI57" s="45">
        <f t="shared" si="25"/>
        <v>1</v>
      </c>
      <c r="AJ57" s="45">
        <f t="shared" si="26"/>
        <v>1</v>
      </c>
      <c r="AK57" s="45">
        <f t="shared" si="27"/>
        <v>1.0000000822403709E-9</v>
      </c>
      <c r="AL57" s="45">
        <f t="shared" si="28"/>
        <v>1.0000000822403709E-9</v>
      </c>
      <c r="AM57" s="45">
        <f t="shared" si="29"/>
        <v>1.0000001644807486E-18</v>
      </c>
      <c r="AN57" s="45">
        <f t="shared" si="30"/>
        <v>1.0000001644807486E-18</v>
      </c>
      <c r="AO57" s="45">
        <f t="shared" si="31"/>
        <v>1.0000001644807486E-18</v>
      </c>
      <c r="AP57" s="45"/>
      <c r="AQ57" s="45">
        <f t="shared" si="32"/>
        <v>1</v>
      </c>
      <c r="AR57" s="45">
        <f t="shared" si="33"/>
        <v>1</v>
      </c>
      <c r="AS57" s="45">
        <f t="shared" si="34"/>
        <v>1.0000000822403709E-9</v>
      </c>
      <c r="AT57" s="45">
        <f t="shared" si="35"/>
        <v>1.0000000822403709E-9</v>
      </c>
      <c r="AU57" s="45">
        <f t="shared" si="36"/>
        <v>1.0000001644807486E-18</v>
      </c>
      <c r="AV57" s="45">
        <f t="shared" si="37"/>
        <v>1.0000001644807486E-18</v>
      </c>
      <c r="AW57" s="45">
        <f t="shared" si="38"/>
        <v>1.0000001644807486E-18</v>
      </c>
      <c r="AX57" s="45"/>
      <c r="AY57" s="45"/>
      <c r="AZ57" s="45"/>
      <c r="BA57" s="45" t="str">
        <f t="shared" si="39"/>
        <v/>
      </c>
      <c r="BB57" s="45" t="str">
        <f t="shared" si="40"/>
        <v/>
      </c>
      <c r="BC57" s="45" t="str">
        <f t="shared" si="41"/>
        <v/>
      </c>
      <c r="BD57" s="45" t="str">
        <f t="shared" si="42"/>
        <v/>
      </c>
      <c r="BE57" s="45" t="str">
        <f t="shared" si="58"/>
        <v/>
      </c>
      <c r="BF57" s="45" t="str">
        <f t="shared" si="59"/>
        <v/>
      </c>
      <c r="BG57" s="45" t="str">
        <f t="shared" si="43"/>
        <v/>
      </c>
      <c r="BH57" s="45"/>
      <c r="BI57" s="45">
        <f t="shared" si="51"/>
        <v>-20000</v>
      </c>
      <c r="BJ57" s="45">
        <f t="shared" si="44"/>
        <v>0.10731709395383104</v>
      </c>
      <c r="BK57" s="45">
        <f t="shared" si="45"/>
        <v>0.12021860531546985</v>
      </c>
      <c r="BL57" s="45">
        <f t="shared" si="46"/>
        <v>-2.1184434825408114</v>
      </c>
      <c r="BM57" s="45">
        <f t="shared" si="60"/>
        <v>42368.869650816225</v>
      </c>
      <c r="BN57" s="45">
        <f t="shared" si="61"/>
        <v>400000000</v>
      </c>
      <c r="BO57" s="45">
        <f t="shared" si="47"/>
        <v>4.487802788719641</v>
      </c>
      <c r="BP57" s="45"/>
      <c r="BQ57" s="45"/>
      <c r="BR57" s="50" t="str">
        <f>IF(B60="","",F57)</f>
        <v/>
      </c>
      <c r="BS57" s="50" t="str">
        <f>IF(B60="","",BJ57)</f>
        <v/>
      </c>
      <c r="BT57" s="50" t="str">
        <f t="shared" si="48"/>
        <v/>
      </c>
      <c r="BU57" s="50" t="str">
        <f t="shared" si="49"/>
        <v/>
      </c>
      <c r="BV57" s="50" t="str">
        <f t="shared" si="9"/>
        <v/>
      </c>
      <c r="BW57" s="50" t="str">
        <f t="shared" si="10"/>
        <v/>
      </c>
      <c r="BX57" s="50" t="str">
        <f t="shared" si="50"/>
        <v/>
      </c>
      <c r="BY57" s="45"/>
      <c r="BZ57" s="72"/>
      <c r="CA57" s="72"/>
      <c r="CB57" s="72"/>
      <c r="CC57" s="72"/>
      <c r="CD57" s="72"/>
      <c r="CE57" s="72"/>
      <c r="CF57" s="72"/>
      <c r="CG57" s="72"/>
      <c r="CH57" s="72"/>
      <c r="CI57" s="72"/>
      <c r="CJ57" s="72"/>
      <c r="CK57" s="70"/>
      <c r="CL57" s="70"/>
    </row>
    <row r="58" spans="1:90" x14ac:dyDescent="0.3">
      <c r="A58" s="48">
        <f>'EINGABEN EINZELWERTE'!C15</f>
        <v>0</v>
      </c>
      <c r="B58" s="45" t="str">
        <f t="shared" si="52"/>
        <v/>
      </c>
      <c r="C58" s="48">
        <f>IF((B58=""),MAX(B9:B108),B58)</f>
        <v>20000</v>
      </c>
      <c r="D58" s="45">
        <f>SMALL(C9:C108,50)</f>
        <v>20000</v>
      </c>
      <c r="E58" s="45">
        <f>LARGE(C9:C108,50)</f>
        <v>20000</v>
      </c>
      <c r="F58" s="49">
        <f>IF(Q6=1,D58,-E58)</f>
        <v>-20000</v>
      </c>
      <c r="G58" s="49">
        <f t="shared" si="53"/>
        <v>0.11251763361691523</v>
      </c>
      <c r="H58" s="49">
        <f t="shared" si="11"/>
        <v>0.10731709395383104</v>
      </c>
      <c r="I58" s="45"/>
      <c r="J58" s="45">
        <f>IF(Q6=1,D58,D58)</f>
        <v>20000</v>
      </c>
      <c r="K58" s="45">
        <f t="shared" si="12"/>
        <v>0.88748236638308475</v>
      </c>
      <c r="L58" s="45">
        <f t="shared" si="13"/>
        <v>0.89268290604616896</v>
      </c>
      <c r="M58" s="45">
        <f t="shared" si="54"/>
        <v>0.69871771847211805</v>
      </c>
      <c r="N58" s="48"/>
      <c r="O58" s="68"/>
      <c r="P58" s="67"/>
      <c r="Q58" s="68"/>
      <c r="R58" s="68"/>
      <c r="S58" s="45">
        <f t="shared" si="55"/>
        <v>1</v>
      </c>
      <c r="T58" s="45">
        <f t="shared" si="56"/>
        <v>1</v>
      </c>
      <c r="U58" s="48">
        <f t="shared" si="14"/>
        <v>1.0000000822403709E-9</v>
      </c>
      <c r="V58" s="48">
        <f t="shared" si="15"/>
        <v>1.0000000822403709E-9</v>
      </c>
      <c r="W58" s="45">
        <f t="shared" si="16"/>
        <v>1.0000001644807486E-18</v>
      </c>
      <c r="X58" s="45">
        <f t="shared" si="17"/>
        <v>1.0000001644807486E-18</v>
      </c>
      <c r="Y58" s="45">
        <f t="shared" si="18"/>
        <v>1.0000001644807486E-18</v>
      </c>
      <c r="Z58" s="45"/>
      <c r="AA58" s="45">
        <f t="shared" si="57"/>
        <v>1</v>
      </c>
      <c r="AB58" s="45">
        <f t="shared" si="19"/>
        <v>1</v>
      </c>
      <c r="AC58" s="45">
        <f t="shared" si="20"/>
        <v>1.0000000822403709E-9</v>
      </c>
      <c r="AD58" s="45">
        <f t="shared" si="21"/>
        <v>1.0000000822403709E-9</v>
      </c>
      <c r="AE58" s="45">
        <f t="shared" si="22"/>
        <v>1.0000001644807486E-18</v>
      </c>
      <c r="AF58" s="45">
        <f t="shared" si="23"/>
        <v>1.0000001644807486E-18</v>
      </c>
      <c r="AG58" s="45">
        <f t="shared" si="24"/>
        <v>1.0000001644807486E-18</v>
      </c>
      <c r="AH58" s="45"/>
      <c r="AI58" s="45">
        <f t="shared" si="25"/>
        <v>1</v>
      </c>
      <c r="AJ58" s="45">
        <f t="shared" si="26"/>
        <v>1</v>
      </c>
      <c r="AK58" s="45">
        <f t="shared" si="27"/>
        <v>1.0000000822403709E-9</v>
      </c>
      <c r="AL58" s="45">
        <f t="shared" si="28"/>
        <v>1.0000000822403709E-9</v>
      </c>
      <c r="AM58" s="45">
        <f t="shared" si="29"/>
        <v>1.0000001644807486E-18</v>
      </c>
      <c r="AN58" s="45">
        <f t="shared" si="30"/>
        <v>1.0000001644807486E-18</v>
      </c>
      <c r="AO58" s="45">
        <f t="shared" si="31"/>
        <v>1.0000001644807486E-18</v>
      </c>
      <c r="AP58" s="45"/>
      <c r="AQ58" s="45">
        <f t="shared" si="32"/>
        <v>1</v>
      </c>
      <c r="AR58" s="45">
        <f t="shared" si="33"/>
        <v>1</v>
      </c>
      <c r="AS58" s="45">
        <f t="shared" si="34"/>
        <v>1.0000000822403709E-9</v>
      </c>
      <c r="AT58" s="45">
        <f t="shared" si="35"/>
        <v>1.0000000822403709E-9</v>
      </c>
      <c r="AU58" s="45">
        <f t="shared" si="36"/>
        <v>1.0000001644807486E-18</v>
      </c>
      <c r="AV58" s="45">
        <f t="shared" si="37"/>
        <v>1.0000001644807486E-18</v>
      </c>
      <c r="AW58" s="45">
        <f t="shared" si="38"/>
        <v>1.0000001644807486E-18</v>
      </c>
      <c r="AX58" s="45"/>
      <c r="AY58" s="45"/>
      <c r="AZ58" s="45"/>
      <c r="BA58" s="45" t="str">
        <f t="shared" si="39"/>
        <v/>
      </c>
      <c r="BB58" s="45" t="str">
        <f t="shared" si="40"/>
        <v/>
      </c>
      <c r="BC58" s="45" t="str">
        <f t="shared" si="41"/>
        <v/>
      </c>
      <c r="BD58" s="45" t="str">
        <f t="shared" si="42"/>
        <v/>
      </c>
      <c r="BE58" s="45" t="str">
        <f t="shared" si="58"/>
        <v/>
      </c>
      <c r="BF58" s="45" t="str">
        <f t="shared" si="59"/>
        <v/>
      </c>
      <c r="BG58" s="45" t="str">
        <f t="shared" si="43"/>
        <v/>
      </c>
      <c r="BH58" s="45"/>
      <c r="BI58" s="45">
        <f t="shared" si="51"/>
        <v>-20000</v>
      </c>
      <c r="BJ58" s="45">
        <f t="shared" si="44"/>
        <v>0.10731709395383104</v>
      </c>
      <c r="BK58" s="45">
        <f t="shared" si="45"/>
        <v>0.12021860531546985</v>
      </c>
      <c r="BL58" s="45">
        <f t="shared" si="46"/>
        <v>-2.1184434825408114</v>
      </c>
      <c r="BM58" s="45">
        <f t="shared" si="60"/>
        <v>42368.869650816225</v>
      </c>
      <c r="BN58" s="45">
        <f t="shared" si="61"/>
        <v>400000000</v>
      </c>
      <c r="BO58" s="45">
        <f t="shared" si="47"/>
        <v>4.487802788719641</v>
      </c>
      <c r="BP58" s="45"/>
      <c r="BQ58" s="45"/>
      <c r="BR58" s="50" t="str">
        <f>IF(B59="","",F58)</f>
        <v/>
      </c>
      <c r="BS58" s="50" t="str">
        <f>IF(B59="","",BJ58)</f>
        <v/>
      </c>
      <c r="BT58" s="50" t="str">
        <f t="shared" si="48"/>
        <v/>
      </c>
      <c r="BU58" s="50" t="str">
        <f t="shared" si="49"/>
        <v/>
      </c>
      <c r="BV58" s="50" t="str">
        <f t="shared" si="9"/>
        <v/>
      </c>
      <c r="BW58" s="50" t="str">
        <f t="shared" si="10"/>
        <v/>
      </c>
      <c r="BX58" s="50" t="str">
        <f t="shared" si="50"/>
        <v/>
      </c>
      <c r="BY58" s="45"/>
      <c r="BZ58" s="72"/>
      <c r="CA58" s="72"/>
      <c r="CB58" s="72"/>
      <c r="CC58" s="72"/>
      <c r="CD58" s="72"/>
      <c r="CE58" s="72"/>
      <c r="CF58" s="72"/>
      <c r="CG58" s="72"/>
      <c r="CH58" s="72"/>
      <c r="CI58" s="72"/>
      <c r="CJ58" s="72"/>
      <c r="CK58" s="70"/>
      <c r="CL58" s="70"/>
    </row>
    <row r="59" spans="1:90" x14ac:dyDescent="0.3">
      <c r="A59" s="48">
        <f>'EINGABEN EINZELWERTE'!C16</f>
        <v>0</v>
      </c>
      <c r="B59" s="45" t="str">
        <f t="shared" si="52"/>
        <v/>
      </c>
      <c r="C59" s="48">
        <f>IF((B59=""),MAX(B9:B108),B59)</f>
        <v>20000</v>
      </c>
      <c r="D59" s="45">
        <f>SMALL(C9:C108,51)</f>
        <v>20000</v>
      </c>
      <c r="E59" s="45">
        <f>LARGE(C9:C108,51)</f>
        <v>20000</v>
      </c>
      <c r="F59" s="49">
        <f>IF(Q6=1,D59,-E59)</f>
        <v>-20000</v>
      </c>
      <c r="G59" s="49">
        <f t="shared" si="53"/>
        <v>0.11251763361691523</v>
      </c>
      <c r="H59" s="49">
        <f t="shared" si="11"/>
        <v>0.10731709395383104</v>
      </c>
      <c r="I59" s="45"/>
      <c r="J59" s="45">
        <f>IF(Q6=1,D59,D59)</f>
        <v>20000</v>
      </c>
      <c r="K59" s="45">
        <f t="shared" si="12"/>
        <v>0.88748236638308475</v>
      </c>
      <c r="L59" s="45">
        <f t="shared" si="13"/>
        <v>0.89268290604616896</v>
      </c>
      <c r="M59" s="45">
        <f t="shared" si="54"/>
        <v>0.69871771847211805</v>
      </c>
      <c r="N59" s="48"/>
      <c r="O59" s="68"/>
      <c r="P59" s="67"/>
      <c r="Q59" s="68"/>
      <c r="R59" s="68"/>
      <c r="S59" s="45">
        <f t="shared" si="55"/>
        <v>1</v>
      </c>
      <c r="T59" s="45">
        <f t="shared" si="56"/>
        <v>1</v>
      </c>
      <c r="U59" s="48">
        <f t="shared" si="14"/>
        <v>1.0000000822403709E-9</v>
      </c>
      <c r="V59" s="48">
        <f t="shared" si="15"/>
        <v>1.0000000822403709E-9</v>
      </c>
      <c r="W59" s="45">
        <f t="shared" si="16"/>
        <v>1.0000001644807486E-18</v>
      </c>
      <c r="X59" s="45">
        <f t="shared" si="17"/>
        <v>1.0000001644807486E-18</v>
      </c>
      <c r="Y59" s="45">
        <f t="shared" si="18"/>
        <v>1.0000001644807486E-18</v>
      </c>
      <c r="Z59" s="45"/>
      <c r="AA59" s="45">
        <f t="shared" si="57"/>
        <v>1</v>
      </c>
      <c r="AB59" s="45">
        <f t="shared" si="19"/>
        <v>1</v>
      </c>
      <c r="AC59" s="45">
        <f t="shared" si="20"/>
        <v>1.0000000822403709E-9</v>
      </c>
      <c r="AD59" s="45">
        <f t="shared" si="21"/>
        <v>1.0000000822403709E-9</v>
      </c>
      <c r="AE59" s="45">
        <f t="shared" si="22"/>
        <v>1.0000001644807486E-18</v>
      </c>
      <c r="AF59" s="45">
        <f t="shared" si="23"/>
        <v>1.0000001644807486E-18</v>
      </c>
      <c r="AG59" s="45">
        <f t="shared" si="24"/>
        <v>1.0000001644807486E-18</v>
      </c>
      <c r="AH59" s="45"/>
      <c r="AI59" s="45">
        <f t="shared" si="25"/>
        <v>1</v>
      </c>
      <c r="AJ59" s="45">
        <f t="shared" si="26"/>
        <v>1</v>
      </c>
      <c r="AK59" s="45">
        <f t="shared" si="27"/>
        <v>1.0000000822403709E-9</v>
      </c>
      <c r="AL59" s="45">
        <f t="shared" si="28"/>
        <v>1.0000000822403709E-9</v>
      </c>
      <c r="AM59" s="45">
        <f t="shared" si="29"/>
        <v>1.0000001644807486E-18</v>
      </c>
      <c r="AN59" s="45">
        <f t="shared" si="30"/>
        <v>1.0000001644807486E-18</v>
      </c>
      <c r="AO59" s="45">
        <f t="shared" si="31"/>
        <v>1.0000001644807486E-18</v>
      </c>
      <c r="AP59" s="45"/>
      <c r="AQ59" s="45">
        <f t="shared" si="32"/>
        <v>1</v>
      </c>
      <c r="AR59" s="45">
        <f t="shared" si="33"/>
        <v>1</v>
      </c>
      <c r="AS59" s="45">
        <f t="shared" si="34"/>
        <v>1.0000000822403709E-9</v>
      </c>
      <c r="AT59" s="45">
        <f t="shared" si="35"/>
        <v>1.0000000822403709E-9</v>
      </c>
      <c r="AU59" s="45">
        <f t="shared" si="36"/>
        <v>1.0000001644807486E-18</v>
      </c>
      <c r="AV59" s="45">
        <f t="shared" si="37"/>
        <v>1.0000001644807486E-18</v>
      </c>
      <c r="AW59" s="45">
        <f t="shared" si="38"/>
        <v>1.0000001644807486E-18</v>
      </c>
      <c r="AX59" s="45"/>
      <c r="AY59" s="45"/>
      <c r="AZ59" s="45"/>
      <c r="BA59" s="45" t="str">
        <f t="shared" si="39"/>
        <v/>
      </c>
      <c r="BB59" s="45" t="str">
        <f t="shared" si="40"/>
        <v/>
      </c>
      <c r="BC59" s="45" t="str">
        <f t="shared" si="41"/>
        <v/>
      </c>
      <c r="BD59" s="45" t="str">
        <f t="shared" si="42"/>
        <v/>
      </c>
      <c r="BE59" s="45" t="str">
        <f t="shared" si="58"/>
        <v/>
      </c>
      <c r="BF59" s="45" t="str">
        <f t="shared" si="59"/>
        <v/>
      </c>
      <c r="BG59" s="45" t="str">
        <f t="shared" si="43"/>
        <v/>
      </c>
      <c r="BH59" s="45"/>
      <c r="BI59" s="45">
        <f t="shared" si="51"/>
        <v>-20000</v>
      </c>
      <c r="BJ59" s="45">
        <f t="shared" si="44"/>
        <v>0.10731709395383104</v>
      </c>
      <c r="BK59" s="45">
        <f t="shared" si="45"/>
        <v>0.12021860531546985</v>
      </c>
      <c r="BL59" s="45">
        <f t="shared" si="46"/>
        <v>-2.1184434825408114</v>
      </c>
      <c r="BM59" s="45">
        <f t="shared" si="60"/>
        <v>42368.869650816225</v>
      </c>
      <c r="BN59" s="45">
        <f t="shared" si="61"/>
        <v>400000000</v>
      </c>
      <c r="BO59" s="45">
        <f t="shared" si="47"/>
        <v>4.487802788719641</v>
      </c>
      <c r="BP59" s="45"/>
      <c r="BQ59" s="45"/>
      <c r="BR59" s="50" t="str">
        <f>IF(B58="","",F59)</f>
        <v/>
      </c>
      <c r="BS59" s="50" t="str">
        <f>IF(B58="","",BJ59)</f>
        <v/>
      </c>
      <c r="BT59" s="50" t="str">
        <f t="shared" si="48"/>
        <v/>
      </c>
      <c r="BU59" s="50" t="str">
        <f t="shared" si="49"/>
        <v/>
      </c>
      <c r="BV59" s="50" t="str">
        <f t="shared" si="9"/>
        <v/>
      </c>
      <c r="BW59" s="50" t="str">
        <f t="shared" si="10"/>
        <v/>
      </c>
      <c r="BX59" s="50" t="str">
        <f t="shared" si="50"/>
        <v/>
      </c>
      <c r="BY59" s="45"/>
      <c r="BZ59" s="72"/>
      <c r="CA59" s="72"/>
      <c r="CB59" s="72"/>
      <c r="CC59" s="72"/>
      <c r="CD59" s="72"/>
      <c r="CE59" s="72"/>
      <c r="CF59" s="72"/>
      <c r="CG59" s="72"/>
      <c r="CH59" s="72"/>
      <c r="CI59" s="72"/>
      <c r="CJ59" s="72"/>
      <c r="CK59" s="70"/>
      <c r="CL59" s="70"/>
    </row>
    <row r="60" spans="1:90" x14ac:dyDescent="0.3">
      <c r="A60" s="48">
        <f>'EINGABEN EINZELWERTE'!C17</f>
        <v>0</v>
      </c>
      <c r="B60" s="45" t="str">
        <f t="shared" si="52"/>
        <v/>
      </c>
      <c r="C60" s="48">
        <f>IF((B60=""),MAX(B9:B108),B60)</f>
        <v>20000</v>
      </c>
      <c r="D60" s="45">
        <f>SMALL(C9:C108,52)</f>
        <v>20000</v>
      </c>
      <c r="E60" s="45">
        <f>LARGE(C9:C108,52)</f>
        <v>20000</v>
      </c>
      <c r="F60" s="49">
        <f>IF(Q6=1,D60,-E60)</f>
        <v>-20000</v>
      </c>
      <c r="G60" s="49">
        <f t="shared" si="53"/>
        <v>0.11251763361691523</v>
      </c>
      <c r="H60" s="49">
        <f t="shared" si="11"/>
        <v>0.10731709395383104</v>
      </c>
      <c r="I60" s="45"/>
      <c r="J60" s="45">
        <f>IF(Q6=1,D60,D60)</f>
        <v>20000</v>
      </c>
      <c r="K60" s="45">
        <f t="shared" si="12"/>
        <v>0.88748236638308475</v>
      </c>
      <c r="L60" s="45">
        <f t="shared" si="13"/>
        <v>0.89268290604616896</v>
      </c>
      <c r="M60" s="45">
        <f t="shared" si="54"/>
        <v>0.69871771847211805</v>
      </c>
      <c r="N60" s="48"/>
      <c r="O60" s="68"/>
      <c r="P60" s="67"/>
      <c r="Q60" s="68"/>
      <c r="R60" s="68"/>
      <c r="S60" s="45">
        <f t="shared" si="55"/>
        <v>1</v>
      </c>
      <c r="T60" s="45">
        <f t="shared" si="56"/>
        <v>1</v>
      </c>
      <c r="U60" s="48">
        <f t="shared" si="14"/>
        <v>1.0000000822403709E-9</v>
      </c>
      <c r="V60" s="48">
        <f t="shared" si="15"/>
        <v>1.0000000822403709E-9</v>
      </c>
      <c r="W60" s="45">
        <f t="shared" si="16"/>
        <v>1.0000001644807486E-18</v>
      </c>
      <c r="X60" s="45">
        <f t="shared" si="17"/>
        <v>1.0000001644807486E-18</v>
      </c>
      <c r="Y60" s="45">
        <f t="shared" si="18"/>
        <v>1.0000001644807486E-18</v>
      </c>
      <c r="Z60" s="45"/>
      <c r="AA60" s="45">
        <f t="shared" si="57"/>
        <v>1</v>
      </c>
      <c r="AB60" s="45">
        <f t="shared" si="19"/>
        <v>1</v>
      </c>
      <c r="AC60" s="45">
        <f t="shared" si="20"/>
        <v>1.0000000822403709E-9</v>
      </c>
      <c r="AD60" s="45">
        <f t="shared" si="21"/>
        <v>1.0000000822403709E-9</v>
      </c>
      <c r="AE60" s="45">
        <f t="shared" si="22"/>
        <v>1.0000001644807486E-18</v>
      </c>
      <c r="AF60" s="45">
        <f t="shared" si="23"/>
        <v>1.0000001644807486E-18</v>
      </c>
      <c r="AG60" s="45">
        <f t="shared" si="24"/>
        <v>1.0000001644807486E-18</v>
      </c>
      <c r="AH60" s="45"/>
      <c r="AI60" s="45">
        <f t="shared" si="25"/>
        <v>1</v>
      </c>
      <c r="AJ60" s="45">
        <f t="shared" si="26"/>
        <v>1</v>
      </c>
      <c r="AK60" s="45">
        <f t="shared" si="27"/>
        <v>1.0000000822403709E-9</v>
      </c>
      <c r="AL60" s="45">
        <f t="shared" si="28"/>
        <v>1.0000000822403709E-9</v>
      </c>
      <c r="AM60" s="45">
        <f t="shared" si="29"/>
        <v>1.0000001644807486E-18</v>
      </c>
      <c r="AN60" s="45">
        <f t="shared" si="30"/>
        <v>1.0000001644807486E-18</v>
      </c>
      <c r="AO60" s="45">
        <f t="shared" si="31"/>
        <v>1.0000001644807486E-18</v>
      </c>
      <c r="AP60" s="45"/>
      <c r="AQ60" s="45">
        <f t="shared" si="32"/>
        <v>1</v>
      </c>
      <c r="AR60" s="45">
        <f t="shared" si="33"/>
        <v>1</v>
      </c>
      <c r="AS60" s="45">
        <f t="shared" si="34"/>
        <v>1.0000000822403709E-9</v>
      </c>
      <c r="AT60" s="45">
        <f t="shared" si="35"/>
        <v>1.0000000822403709E-9</v>
      </c>
      <c r="AU60" s="45">
        <f t="shared" si="36"/>
        <v>1.0000001644807486E-18</v>
      </c>
      <c r="AV60" s="45">
        <f t="shared" si="37"/>
        <v>1.0000001644807486E-18</v>
      </c>
      <c r="AW60" s="45">
        <f t="shared" si="38"/>
        <v>1.0000001644807486E-18</v>
      </c>
      <c r="AX60" s="45"/>
      <c r="AY60" s="45"/>
      <c r="AZ60" s="45"/>
      <c r="BA60" s="45" t="str">
        <f t="shared" si="39"/>
        <v/>
      </c>
      <c r="BB60" s="45" t="str">
        <f t="shared" si="40"/>
        <v/>
      </c>
      <c r="BC60" s="45" t="str">
        <f t="shared" si="41"/>
        <v/>
      </c>
      <c r="BD60" s="45" t="str">
        <f t="shared" si="42"/>
        <v/>
      </c>
      <c r="BE60" s="45" t="str">
        <f t="shared" si="58"/>
        <v/>
      </c>
      <c r="BF60" s="45" t="str">
        <f t="shared" si="59"/>
        <v/>
      </c>
      <c r="BG60" s="45" t="str">
        <f t="shared" si="43"/>
        <v/>
      </c>
      <c r="BH60" s="45"/>
      <c r="BI60" s="45">
        <f t="shared" si="51"/>
        <v>-20000</v>
      </c>
      <c r="BJ60" s="45">
        <f t="shared" si="44"/>
        <v>0.10731709395383104</v>
      </c>
      <c r="BK60" s="45">
        <f t="shared" si="45"/>
        <v>0.12021860531546985</v>
      </c>
      <c r="BL60" s="45">
        <f t="shared" si="46"/>
        <v>-2.1184434825408114</v>
      </c>
      <c r="BM60" s="45">
        <f t="shared" si="60"/>
        <v>42368.869650816225</v>
      </c>
      <c r="BN60" s="45">
        <f t="shared" si="61"/>
        <v>400000000</v>
      </c>
      <c r="BO60" s="45">
        <f t="shared" si="47"/>
        <v>4.487802788719641</v>
      </c>
      <c r="BP60" s="45"/>
      <c r="BQ60" s="45"/>
      <c r="BR60" s="50" t="str">
        <f>IF(B57="","",F60)</f>
        <v/>
      </c>
      <c r="BS60" s="50" t="str">
        <f>IF(B57="","",BJ60)</f>
        <v/>
      </c>
      <c r="BT60" s="50" t="str">
        <f t="shared" si="48"/>
        <v/>
      </c>
      <c r="BU60" s="50" t="str">
        <f t="shared" si="49"/>
        <v/>
      </c>
      <c r="BV60" s="50" t="str">
        <f t="shared" si="9"/>
        <v/>
      </c>
      <c r="BW60" s="50" t="str">
        <f t="shared" si="10"/>
        <v/>
      </c>
      <c r="BX60" s="50" t="str">
        <f t="shared" si="50"/>
        <v/>
      </c>
      <c r="BY60" s="45"/>
      <c r="BZ60" s="72"/>
      <c r="CA60" s="72"/>
      <c r="CB60" s="72"/>
      <c r="CC60" s="72"/>
      <c r="CD60" s="72"/>
      <c r="CE60" s="72"/>
      <c r="CF60" s="72"/>
      <c r="CG60" s="72"/>
      <c r="CH60" s="72"/>
      <c r="CI60" s="72"/>
      <c r="CJ60" s="72"/>
      <c r="CK60" s="70"/>
      <c r="CL60" s="70"/>
    </row>
    <row r="61" spans="1:90" x14ac:dyDescent="0.3">
      <c r="A61" s="48">
        <f>'EINGABEN EINZELWERTE'!C18</f>
        <v>0</v>
      </c>
      <c r="B61" s="45" t="str">
        <f t="shared" si="52"/>
        <v/>
      </c>
      <c r="C61" s="48">
        <f>IF((B61=""),MAX(B9:B108),B61)</f>
        <v>20000</v>
      </c>
      <c r="D61" s="45">
        <f>SMALL(C9:C108,53)</f>
        <v>20000</v>
      </c>
      <c r="E61" s="45">
        <f>LARGE(C9:C1608,53)</f>
        <v>20000</v>
      </c>
      <c r="F61" s="49">
        <f>IF(Q6=1,D61,-E61)</f>
        <v>-20000</v>
      </c>
      <c r="G61" s="49">
        <f t="shared" si="53"/>
        <v>0.11251763361691523</v>
      </c>
      <c r="H61" s="49">
        <f t="shared" si="11"/>
        <v>0.10731709395383104</v>
      </c>
      <c r="I61" s="45"/>
      <c r="J61" s="45">
        <f>IF(Q6=1,D61,D61)</f>
        <v>20000</v>
      </c>
      <c r="K61" s="45">
        <f t="shared" si="12"/>
        <v>0.88748236638308475</v>
      </c>
      <c r="L61" s="45">
        <f t="shared" si="13"/>
        <v>0.89268290604616896</v>
      </c>
      <c r="M61" s="45">
        <f t="shared" si="54"/>
        <v>0.69871771847211805</v>
      </c>
      <c r="N61" s="48"/>
      <c r="O61" s="68"/>
      <c r="P61" s="67"/>
      <c r="Q61" s="68"/>
      <c r="R61" s="68"/>
      <c r="S61" s="45">
        <f t="shared" si="55"/>
        <v>1</v>
      </c>
      <c r="T61" s="45">
        <f t="shared" si="56"/>
        <v>1</v>
      </c>
      <c r="U61" s="48">
        <f t="shared" si="14"/>
        <v>1.0000000822403709E-9</v>
      </c>
      <c r="V61" s="48">
        <f t="shared" si="15"/>
        <v>1.0000000822403709E-9</v>
      </c>
      <c r="W61" s="45">
        <f t="shared" si="16"/>
        <v>1.0000001644807486E-18</v>
      </c>
      <c r="X61" s="45">
        <f t="shared" si="17"/>
        <v>1.0000001644807486E-18</v>
      </c>
      <c r="Y61" s="45">
        <f t="shared" si="18"/>
        <v>1.0000001644807486E-18</v>
      </c>
      <c r="Z61" s="45"/>
      <c r="AA61" s="45">
        <f t="shared" si="57"/>
        <v>1</v>
      </c>
      <c r="AB61" s="45">
        <f t="shared" si="19"/>
        <v>1</v>
      </c>
      <c r="AC61" s="45">
        <f t="shared" si="20"/>
        <v>1.0000000822403709E-9</v>
      </c>
      <c r="AD61" s="45">
        <f t="shared" si="21"/>
        <v>1.0000000822403709E-9</v>
      </c>
      <c r="AE61" s="45">
        <f t="shared" si="22"/>
        <v>1.0000001644807486E-18</v>
      </c>
      <c r="AF61" s="45">
        <f t="shared" si="23"/>
        <v>1.0000001644807486E-18</v>
      </c>
      <c r="AG61" s="45">
        <f t="shared" si="24"/>
        <v>1.0000001644807486E-18</v>
      </c>
      <c r="AH61" s="45"/>
      <c r="AI61" s="45">
        <f t="shared" si="25"/>
        <v>1</v>
      </c>
      <c r="AJ61" s="45">
        <f t="shared" si="26"/>
        <v>1</v>
      </c>
      <c r="AK61" s="45">
        <f t="shared" si="27"/>
        <v>1.0000000822403709E-9</v>
      </c>
      <c r="AL61" s="45">
        <f t="shared" si="28"/>
        <v>1.0000000822403709E-9</v>
      </c>
      <c r="AM61" s="45">
        <f t="shared" si="29"/>
        <v>1.0000001644807486E-18</v>
      </c>
      <c r="AN61" s="45">
        <f t="shared" si="30"/>
        <v>1.0000001644807486E-18</v>
      </c>
      <c r="AO61" s="45">
        <f t="shared" si="31"/>
        <v>1.0000001644807486E-18</v>
      </c>
      <c r="AP61" s="45"/>
      <c r="AQ61" s="45">
        <f t="shared" si="32"/>
        <v>1</v>
      </c>
      <c r="AR61" s="45">
        <f t="shared" si="33"/>
        <v>1</v>
      </c>
      <c r="AS61" s="45">
        <f t="shared" si="34"/>
        <v>1.0000000822403709E-9</v>
      </c>
      <c r="AT61" s="45">
        <f t="shared" si="35"/>
        <v>1.0000000822403709E-9</v>
      </c>
      <c r="AU61" s="45">
        <f t="shared" si="36"/>
        <v>1.0000001644807486E-18</v>
      </c>
      <c r="AV61" s="45">
        <f t="shared" si="37"/>
        <v>1.0000001644807486E-18</v>
      </c>
      <c r="AW61" s="45">
        <f t="shared" si="38"/>
        <v>1.0000001644807486E-18</v>
      </c>
      <c r="AX61" s="45"/>
      <c r="AY61" s="45"/>
      <c r="AZ61" s="45"/>
      <c r="BA61" s="45" t="str">
        <f t="shared" si="39"/>
        <v/>
      </c>
      <c r="BB61" s="45" t="str">
        <f t="shared" si="40"/>
        <v/>
      </c>
      <c r="BC61" s="45" t="str">
        <f t="shared" si="41"/>
        <v/>
      </c>
      <c r="BD61" s="45" t="str">
        <f t="shared" si="42"/>
        <v/>
      </c>
      <c r="BE61" s="45" t="str">
        <f t="shared" si="58"/>
        <v/>
      </c>
      <c r="BF61" s="45" t="str">
        <f t="shared" si="59"/>
        <v/>
      </c>
      <c r="BG61" s="45" t="str">
        <f t="shared" si="43"/>
        <v/>
      </c>
      <c r="BH61" s="45"/>
      <c r="BI61" s="45">
        <f t="shared" si="51"/>
        <v>-20000</v>
      </c>
      <c r="BJ61" s="45">
        <f t="shared" si="44"/>
        <v>0.10731709395383104</v>
      </c>
      <c r="BK61" s="45">
        <f t="shared" si="45"/>
        <v>0.12021860531546985</v>
      </c>
      <c r="BL61" s="45">
        <f t="shared" si="46"/>
        <v>-2.1184434825408114</v>
      </c>
      <c r="BM61" s="45">
        <f t="shared" si="60"/>
        <v>42368.869650816225</v>
      </c>
      <c r="BN61" s="45">
        <f t="shared" si="61"/>
        <v>400000000</v>
      </c>
      <c r="BO61" s="45">
        <f t="shared" si="47"/>
        <v>4.487802788719641</v>
      </c>
      <c r="BP61" s="45"/>
      <c r="BQ61" s="45"/>
      <c r="BR61" s="50" t="str">
        <f>IF(B56="","",F61)</f>
        <v/>
      </c>
      <c r="BS61" s="50" t="str">
        <f>IF(B56="","",BJ61)</f>
        <v/>
      </c>
      <c r="BT61" s="50" t="str">
        <f t="shared" si="48"/>
        <v/>
      </c>
      <c r="BU61" s="50" t="str">
        <f t="shared" si="49"/>
        <v/>
      </c>
      <c r="BV61" s="50" t="str">
        <f t="shared" si="9"/>
        <v/>
      </c>
      <c r="BW61" s="50" t="str">
        <f t="shared" si="10"/>
        <v/>
      </c>
      <c r="BX61" s="50" t="str">
        <f t="shared" si="50"/>
        <v/>
      </c>
      <c r="BY61" s="45"/>
      <c r="BZ61" s="72"/>
      <c r="CA61" s="72"/>
      <c r="CB61" s="72"/>
      <c r="CC61" s="72"/>
      <c r="CD61" s="72"/>
      <c r="CE61" s="72"/>
      <c r="CF61" s="72"/>
      <c r="CG61" s="72"/>
      <c r="CH61" s="72"/>
      <c r="CI61" s="72"/>
      <c r="CJ61" s="72"/>
      <c r="CK61" s="70"/>
      <c r="CL61" s="70"/>
    </row>
    <row r="62" spans="1:90" x14ac:dyDescent="0.3">
      <c r="A62" s="48">
        <f>'EINGABEN EINZELWERTE'!C19</f>
        <v>0</v>
      </c>
      <c r="B62" s="45" t="str">
        <f t="shared" si="52"/>
        <v/>
      </c>
      <c r="C62" s="48">
        <f>IF((B62=""),MAX(B9:B108),B62)</f>
        <v>20000</v>
      </c>
      <c r="D62" s="45">
        <f>SMALL(C9:C108,54)</f>
        <v>20000</v>
      </c>
      <c r="E62" s="45">
        <f>LARGE(C9:C108,54)</f>
        <v>20000</v>
      </c>
      <c r="F62" s="49">
        <f>IF(Q6=1,D62,-E62)</f>
        <v>-20000</v>
      </c>
      <c r="G62" s="49">
        <f t="shared" si="53"/>
        <v>0.11251763361691523</v>
      </c>
      <c r="H62" s="49">
        <f t="shared" si="11"/>
        <v>0.10731709395383104</v>
      </c>
      <c r="I62" s="45"/>
      <c r="J62" s="45">
        <f>IF(Q6=1,D62,D62)</f>
        <v>20000</v>
      </c>
      <c r="K62" s="45">
        <f t="shared" si="12"/>
        <v>0.88748236638308475</v>
      </c>
      <c r="L62" s="45">
        <f t="shared" si="13"/>
        <v>0.89268290604616896</v>
      </c>
      <c r="M62" s="45">
        <f t="shared" si="54"/>
        <v>0.69871771847211805</v>
      </c>
      <c r="N62" s="48"/>
      <c r="O62" s="68"/>
      <c r="P62" s="67"/>
      <c r="Q62" s="68"/>
      <c r="R62" s="68"/>
      <c r="S62" s="45">
        <f t="shared" si="55"/>
        <v>1</v>
      </c>
      <c r="T62" s="45">
        <f t="shared" si="56"/>
        <v>1</v>
      </c>
      <c r="U62" s="48">
        <f t="shared" si="14"/>
        <v>1.0000000822403709E-9</v>
      </c>
      <c r="V62" s="48">
        <f t="shared" si="15"/>
        <v>1.0000000822403709E-9</v>
      </c>
      <c r="W62" s="45">
        <f t="shared" si="16"/>
        <v>1.0000001644807486E-18</v>
      </c>
      <c r="X62" s="45">
        <f t="shared" si="17"/>
        <v>1.0000001644807486E-18</v>
      </c>
      <c r="Y62" s="45">
        <f t="shared" si="18"/>
        <v>1.0000001644807486E-18</v>
      </c>
      <c r="Z62" s="45"/>
      <c r="AA62" s="45">
        <f t="shared" si="57"/>
        <v>1</v>
      </c>
      <c r="AB62" s="45">
        <f t="shared" si="19"/>
        <v>1</v>
      </c>
      <c r="AC62" s="45">
        <f t="shared" si="20"/>
        <v>1.0000000822403709E-9</v>
      </c>
      <c r="AD62" s="45">
        <f t="shared" si="21"/>
        <v>1.0000000822403709E-9</v>
      </c>
      <c r="AE62" s="45">
        <f t="shared" si="22"/>
        <v>1.0000001644807486E-18</v>
      </c>
      <c r="AF62" s="45">
        <f t="shared" si="23"/>
        <v>1.0000001644807486E-18</v>
      </c>
      <c r="AG62" s="45">
        <f t="shared" si="24"/>
        <v>1.0000001644807486E-18</v>
      </c>
      <c r="AH62" s="45"/>
      <c r="AI62" s="45">
        <f t="shared" si="25"/>
        <v>1</v>
      </c>
      <c r="AJ62" s="45">
        <f t="shared" si="26"/>
        <v>1</v>
      </c>
      <c r="AK62" s="45">
        <f t="shared" si="27"/>
        <v>1.0000000822403709E-9</v>
      </c>
      <c r="AL62" s="45">
        <f t="shared" si="28"/>
        <v>1.0000000822403709E-9</v>
      </c>
      <c r="AM62" s="45">
        <f t="shared" si="29"/>
        <v>1.0000001644807486E-18</v>
      </c>
      <c r="AN62" s="45">
        <f t="shared" si="30"/>
        <v>1.0000001644807486E-18</v>
      </c>
      <c r="AO62" s="45">
        <f t="shared" si="31"/>
        <v>1.0000001644807486E-18</v>
      </c>
      <c r="AP62" s="45"/>
      <c r="AQ62" s="45">
        <f t="shared" si="32"/>
        <v>1</v>
      </c>
      <c r="AR62" s="45">
        <f t="shared" si="33"/>
        <v>1</v>
      </c>
      <c r="AS62" s="45">
        <f t="shared" si="34"/>
        <v>1.0000000822403709E-9</v>
      </c>
      <c r="AT62" s="45">
        <f t="shared" si="35"/>
        <v>1.0000000822403709E-9</v>
      </c>
      <c r="AU62" s="45">
        <f t="shared" si="36"/>
        <v>1.0000001644807486E-18</v>
      </c>
      <c r="AV62" s="45">
        <f t="shared" si="37"/>
        <v>1.0000001644807486E-18</v>
      </c>
      <c r="AW62" s="45">
        <f t="shared" si="38"/>
        <v>1.0000001644807486E-18</v>
      </c>
      <c r="AX62" s="45"/>
      <c r="AY62" s="45"/>
      <c r="AZ62" s="45"/>
      <c r="BA62" s="45" t="str">
        <f t="shared" si="39"/>
        <v/>
      </c>
      <c r="BB62" s="45" t="str">
        <f t="shared" si="40"/>
        <v/>
      </c>
      <c r="BC62" s="45" t="str">
        <f t="shared" si="41"/>
        <v/>
      </c>
      <c r="BD62" s="45" t="str">
        <f t="shared" si="42"/>
        <v/>
      </c>
      <c r="BE62" s="45" t="str">
        <f t="shared" si="58"/>
        <v/>
      </c>
      <c r="BF62" s="45" t="str">
        <f t="shared" si="59"/>
        <v/>
      </c>
      <c r="BG62" s="45" t="str">
        <f t="shared" si="43"/>
        <v/>
      </c>
      <c r="BH62" s="45"/>
      <c r="BI62" s="45">
        <f t="shared" si="51"/>
        <v>-20000</v>
      </c>
      <c r="BJ62" s="45">
        <f t="shared" si="44"/>
        <v>0.10731709395383104</v>
      </c>
      <c r="BK62" s="45">
        <f t="shared" si="45"/>
        <v>0.12021860531546985</v>
      </c>
      <c r="BL62" s="45">
        <f t="shared" si="46"/>
        <v>-2.1184434825408114</v>
      </c>
      <c r="BM62" s="45">
        <f t="shared" si="60"/>
        <v>42368.869650816225</v>
      </c>
      <c r="BN62" s="45">
        <f t="shared" si="61"/>
        <v>400000000</v>
      </c>
      <c r="BO62" s="45">
        <f t="shared" si="47"/>
        <v>4.487802788719641</v>
      </c>
      <c r="BP62" s="45"/>
      <c r="BQ62" s="45"/>
      <c r="BR62" s="50" t="str">
        <f>IF(B55="","",F62)</f>
        <v/>
      </c>
      <c r="BS62" s="50" t="str">
        <f>IF(B55="","",BJ62)</f>
        <v/>
      </c>
      <c r="BT62" s="50" t="str">
        <f t="shared" si="48"/>
        <v/>
      </c>
      <c r="BU62" s="50" t="str">
        <f t="shared" si="49"/>
        <v/>
      </c>
      <c r="BV62" s="50" t="str">
        <f t="shared" si="9"/>
        <v/>
      </c>
      <c r="BW62" s="50" t="str">
        <f t="shared" si="10"/>
        <v/>
      </c>
      <c r="BX62" s="50" t="str">
        <f t="shared" si="50"/>
        <v/>
      </c>
      <c r="BY62" s="45"/>
      <c r="BZ62" s="72"/>
      <c r="CA62" s="72"/>
      <c r="CB62" s="72"/>
      <c r="CC62" s="72"/>
      <c r="CD62" s="72"/>
      <c r="CE62" s="72"/>
      <c r="CF62" s="72"/>
      <c r="CG62" s="72"/>
      <c r="CH62" s="72"/>
      <c r="CI62" s="72"/>
      <c r="CJ62" s="72"/>
      <c r="CK62" s="70"/>
      <c r="CL62" s="70"/>
    </row>
    <row r="63" spans="1:90" x14ac:dyDescent="0.3">
      <c r="A63" s="48">
        <f>'EINGABEN EINZELWERTE'!C20</f>
        <v>0</v>
      </c>
      <c r="B63" s="45" t="str">
        <f t="shared" si="52"/>
        <v/>
      </c>
      <c r="C63" s="48">
        <f>IF((B63=""),MAX(B9:B108),B63)</f>
        <v>20000</v>
      </c>
      <c r="D63" s="45">
        <f>SMALL(C9:C108,55)</f>
        <v>20000</v>
      </c>
      <c r="E63" s="45">
        <f>LARGE(C9:C108,55)</f>
        <v>20000</v>
      </c>
      <c r="F63" s="49">
        <f>IF(Q6=1,D63,-E63)</f>
        <v>-20000</v>
      </c>
      <c r="G63" s="49">
        <f t="shared" si="53"/>
        <v>0.11251763361691523</v>
      </c>
      <c r="H63" s="49">
        <f t="shared" si="11"/>
        <v>0.10731709395383104</v>
      </c>
      <c r="I63" s="45"/>
      <c r="J63" s="45">
        <f>IF(Q6=1,D63,D63)</f>
        <v>20000</v>
      </c>
      <c r="K63" s="45">
        <f t="shared" si="12"/>
        <v>0.88748236638308475</v>
      </c>
      <c r="L63" s="45">
        <f t="shared" si="13"/>
        <v>0.89268290604616896</v>
      </c>
      <c r="M63" s="45">
        <f t="shared" si="54"/>
        <v>0.69871771847211805</v>
      </c>
      <c r="N63" s="48"/>
      <c r="O63" s="68"/>
      <c r="P63" s="67"/>
      <c r="Q63" s="68"/>
      <c r="R63" s="68"/>
      <c r="S63" s="45">
        <f t="shared" si="55"/>
        <v>1</v>
      </c>
      <c r="T63" s="45">
        <f t="shared" si="56"/>
        <v>1</v>
      </c>
      <c r="U63" s="48">
        <f t="shared" si="14"/>
        <v>1.0000000822403709E-9</v>
      </c>
      <c r="V63" s="48">
        <f t="shared" si="15"/>
        <v>1.0000000822403709E-9</v>
      </c>
      <c r="W63" s="45">
        <f t="shared" si="16"/>
        <v>1.0000001644807486E-18</v>
      </c>
      <c r="X63" s="45">
        <f t="shared" si="17"/>
        <v>1.0000001644807486E-18</v>
      </c>
      <c r="Y63" s="45">
        <f t="shared" si="18"/>
        <v>1.0000001644807486E-18</v>
      </c>
      <c r="Z63" s="45"/>
      <c r="AA63" s="45">
        <f t="shared" si="57"/>
        <v>1</v>
      </c>
      <c r="AB63" s="45">
        <f t="shared" si="19"/>
        <v>1</v>
      </c>
      <c r="AC63" s="45">
        <f t="shared" si="20"/>
        <v>1.0000000822403709E-9</v>
      </c>
      <c r="AD63" s="45">
        <f t="shared" si="21"/>
        <v>1.0000000822403709E-9</v>
      </c>
      <c r="AE63" s="45">
        <f t="shared" si="22"/>
        <v>1.0000001644807486E-18</v>
      </c>
      <c r="AF63" s="45">
        <f t="shared" si="23"/>
        <v>1.0000001644807486E-18</v>
      </c>
      <c r="AG63" s="45">
        <f t="shared" si="24"/>
        <v>1.0000001644807486E-18</v>
      </c>
      <c r="AH63" s="45"/>
      <c r="AI63" s="45">
        <f t="shared" si="25"/>
        <v>1</v>
      </c>
      <c r="AJ63" s="45">
        <f t="shared" si="26"/>
        <v>1</v>
      </c>
      <c r="AK63" s="45">
        <f t="shared" si="27"/>
        <v>1.0000000822403709E-9</v>
      </c>
      <c r="AL63" s="45">
        <f t="shared" si="28"/>
        <v>1.0000000822403709E-9</v>
      </c>
      <c r="AM63" s="45">
        <f t="shared" si="29"/>
        <v>1.0000001644807486E-18</v>
      </c>
      <c r="AN63" s="45">
        <f t="shared" si="30"/>
        <v>1.0000001644807486E-18</v>
      </c>
      <c r="AO63" s="45">
        <f t="shared" si="31"/>
        <v>1.0000001644807486E-18</v>
      </c>
      <c r="AP63" s="45"/>
      <c r="AQ63" s="45">
        <f t="shared" si="32"/>
        <v>1</v>
      </c>
      <c r="AR63" s="45">
        <f t="shared" si="33"/>
        <v>1</v>
      </c>
      <c r="AS63" s="45">
        <f t="shared" si="34"/>
        <v>1.0000000822403709E-9</v>
      </c>
      <c r="AT63" s="45">
        <f t="shared" si="35"/>
        <v>1.0000000822403709E-9</v>
      </c>
      <c r="AU63" s="45">
        <f t="shared" si="36"/>
        <v>1.0000001644807486E-18</v>
      </c>
      <c r="AV63" s="45">
        <f t="shared" si="37"/>
        <v>1.0000001644807486E-18</v>
      </c>
      <c r="AW63" s="45">
        <f t="shared" si="38"/>
        <v>1.0000001644807486E-18</v>
      </c>
      <c r="AX63" s="45"/>
      <c r="AY63" s="45"/>
      <c r="AZ63" s="45"/>
      <c r="BA63" s="45" t="str">
        <f t="shared" si="39"/>
        <v/>
      </c>
      <c r="BB63" s="45" t="str">
        <f t="shared" si="40"/>
        <v/>
      </c>
      <c r="BC63" s="45" t="str">
        <f t="shared" si="41"/>
        <v/>
      </c>
      <c r="BD63" s="45" t="str">
        <f t="shared" si="42"/>
        <v/>
      </c>
      <c r="BE63" s="45" t="str">
        <f t="shared" si="58"/>
        <v/>
      </c>
      <c r="BF63" s="45" t="str">
        <f t="shared" si="59"/>
        <v/>
      </c>
      <c r="BG63" s="45" t="str">
        <f t="shared" si="43"/>
        <v/>
      </c>
      <c r="BH63" s="45"/>
      <c r="BI63" s="45">
        <f t="shared" si="51"/>
        <v>-20000</v>
      </c>
      <c r="BJ63" s="45">
        <f t="shared" si="44"/>
        <v>0.10731709395383104</v>
      </c>
      <c r="BK63" s="45">
        <f t="shared" si="45"/>
        <v>0.12021860531546985</v>
      </c>
      <c r="BL63" s="45">
        <f t="shared" si="46"/>
        <v>-2.1184434825408114</v>
      </c>
      <c r="BM63" s="45">
        <f t="shared" si="60"/>
        <v>42368.869650816225</v>
      </c>
      <c r="BN63" s="45">
        <f t="shared" si="61"/>
        <v>400000000</v>
      </c>
      <c r="BO63" s="45">
        <f t="shared" si="47"/>
        <v>4.487802788719641</v>
      </c>
      <c r="BP63" s="45"/>
      <c r="BQ63" s="45"/>
      <c r="BR63" s="50" t="str">
        <f>IF(B54="","",F63)</f>
        <v/>
      </c>
      <c r="BS63" s="50" t="str">
        <f>IF(B54="","",BJ63)</f>
        <v/>
      </c>
      <c r="BT63" s="50" t="str">
        <f t="shared" si="48"/>
        <v/>
      </c>
      <c r="BU63" s="50" t="str">
        <f t="shared" si="49"/>
        <v/>
      </c>
      <c r="BV63" s="50" t="str">
        <f t="shared" si="9"/>
        <v/>
      </c>
      <c r="BW63" s="50" t="str">
        <f t="shared" si="10"/>
        <v/>
      </c>
      <c r="BX63" s="50" t="str">
        <f t="shared" si="50"/>
        <v/>
      </c>
      <c r="BY63" s="45"/>
      <c r="BZ63" s="72"/>
      <c r="CA63" s="72"/>
      <c r="CB63" s="72"/>
      <c r="CC63" s="72"/>
      <c r="CD63" s="72"/>
      <c r="CE63" s="72"/>
      <c r="CF63" s="72"/>
      <c r="CG63" s="72"/>
      <c r="CH63" s="72"/>
      <c r="CI63" s="72"/>
      <c r="CJ63" s="72"/>
      <c r="CK63" s="70"/>
      <c r="CL63" s="70"/>
    </row>
    <row r="64" spans="1:90" x14ac:dyDescent="0.3">
      <c r="A64" s="48">
        <f>'EINGABEN EINZELWERTE'!C21</f>
        <v>0</v>
      </c>
      <c r="B64" s="45" t="str">
        <f t="shared" si="52"/>
        <v/>
      </c>
      <c r="C64" s="48">
        <f>IF((B64=""),MAX(B9:B108),B64)</f>
        <v>20000</v>
      </c>
      <c r="D64" s="45">
        <f>SMALL(C9:C108,56)</f>
        <v>20000</v>
      </c>
      <c r="E64" s="45">
        <f>LARGE(C9:C108,56)</f>
        <v>20000</v>
      </c>
      <c r="F64" s="49">
        <f>IF(Q6=1,D64,-E64)</f>
        <v>-20000</v>
      </c>
      <c r="G64" s="49">
        <f t="shared" si="53"/>
        <v>0.11251763361691523</v>
      </c>
      <c r="H64" s="49">
        <f t="shared" si="11"/>
        <v>0.10731709395383104</v>
      </c>
      <c r="I64" s="45"/>
      <c r="J64" s="45">
        <f>IF(Q6=1,D64,D64)</f>
        <v>20000</v>
      </c>
      <c r="K64" s="45">
        <f t="shared" si="12"/>
        <v>0.88748236638308475</v>
      </c>
      <c r="L64" s="45">
        <f t="shared" si="13"/>
        <v>0.89268290604616896</v>
      </c>
      <c r="M64" s="45">
        <f t="shared" si="54"/>
        <v>0.69871771847211805</v>
      </c>
      <c r="N64" s="48"/>
      <c r="O64" s="68"/>
      <c r="P64" s="67"/>
      <c r="Q64" s="68"/>
      <c r="R64" s="68"/>
      <c r="S64" s="45">
        <f t="shared" si="55"/>
        <v>1</v>
      </c>
      <c r="T64" s="45">
        <f t="shared" si="56"/>
        <v>1</v>
      </c>
      <c r="U64" s="48">
        <f t="shared" si="14"/>
        <v>1.0000000822403709E-9</v>
      </c>
      <c r="V64" s="48">
        <f t="shared" si="15"/>
        <v>1.0000000822403709E-9</v>
      </c>
      <c r="W64" s="45">
        <f t="shared" si="16"/>
        <v>1.0000001644807486E-18</v>
      </c>
      <c r="X64" s="45">
        <f t="shared" si="17"/>
        <v>1.0000001644807486E-18</v>
      </c>
      <c r="Y64" s="45">
        <f t="shared" si="18"/>
        <v>1.0000001644807486E-18</v>
      </c>
      <c r="Z64" s="45"/>
      <c r="AA64" s="45">
        <f t="shared" si="57"/>
        <v>1</v>
      </c>
      <c r="AB64" s="45">
        <f t="shared" si="19"/>
        <v>1</v>
      </c>
      <c r="AC64" s="45">
        <f t="shared" si="20"/>
        <v>1.0000000822403709E-9</v>
      </c>
      <c r="AD64" s="45">
        <f t="shared" si="21"/>
        <v>1.0000000822403709E-9</v>
      </c>
      <c r="AE64" s="45">
        <f t="shared" si="22"/>
        <v>1.0000001644807486E-18</v>
      </c>
      <c r="AF64" s="45">
        <f t="shared" si="23"/>
        <v>1.0000001644807486E-18</v>
      </c>
      <c r="AG64" s="45">
        <f t="shared" si="24"/>
        <v>1.0000001644807486E-18</v>
      </c>
      <c r="AH64" s="45"/>
      <c r="AI64" s="45">
        <f t="shared" si="25"/>
        <v>1</v>
      </c>
      <c r="AJ64" s="45">
        <f t="shared" si="26"/>
        <v>1</v>
      </c>
      <c r="AK64" s="45">
        <f t="shared" si="27"/>
        <v>1.0000000822403709E-9</v>
      </c>
      <c r="AL64" s="45">
        <f t="shared" si="28"/>
        <v>1.0000000822403709E-9</v>
      </c>
      <c r="AM64" s="45">
        <f t="shared" si="29"/>
        <v>1.0000001644807486E-18</v>
      </c>
      <c r="AN64" s="45">
        <f t="shared" si="30"/>
        <v>1.0000001644807486E-18</v>
      </c>
      <c r="AO64" s="45">
        <f t="shared" si="31"/>
        <v>1.0000001644807486E-18</v>
      </c>
      <c r="AP64" s="45"/>
      <c r="AQ64" s="45">
        <f t="shared" si="32"/>
        <v>1</v>
      </c>
      <c r="AR64" s="45">
        <f t="shared" si="33"/>
        <v>1</v>
      </c>
      <c r="AS64" s="45">
        <f t="shared" si="34"/>
        <v>1.0000000822403709E-9</v>
      </c>
      <c r="AT64" s="45">
        <f t="shared" si="35"/>
        <v>1.0000000822403709E-9</v>
      </c>
      <c r="AU64" s="45">
        <f t="shared" si="36"/>
        <v>1.0000001644807486E-18</v>
      </c>
      <c r="AV64" s="45">
        <f t="shared" si="37"/>
        <v>1.0000001644807486E-18</v>
      </c>
      <c r="AW64" s="45">
        <f t="shared" si="38"/>
        <v>1.0000001644807486E-18</v>
      </c>
      <c r="AX64" s="45"/>
      <c r="AY64" s="45"/>
      <c r="AZ64" s="45"/>
      <c r="BA64" s="45" t="str">
        <f t="shared" si="39"/>
        <v/>
      </c>
      <c r="BB64" s="45" t="str">
        <f t="shared" si="40"/>
        <v/>
      </c>
      <c r="BC64" s="45" t="str">
        <f t="shared" si="41"/>
        <v/>
      </c>
      <c r="BD64" s="45" t="str">
        <f t="shared" si="42"/>
        <v/>
      </c>
      <c r="BE64" s="45" t="str">
        <f t="shared" si="58"/>
        <v/>
      </c>
      <c r="BF64" s="45" t="str">
        <f t="shared" si="59"/>
        <v/>
      </c>
      <c r="BG64" s="45" t="str">
        <f t="shared" si="43"/>
        <v/>
      </c>
      <c r="BH64" s="45"/>
      <c r="BI64" s="45">
        <f t="shared" si="51"/>
        <v>-20000</v>
      </c>
      <c r="BJ64" s="45">
        <f t="shared" si="44"/>
        <v>0.10731709395383104</v>
      </c>
      <c r="BK64" s="45">
        <f t="shared" si="45"/>
        <v>0.12021860531546985</v>
      </c>
      <c r="BL64" s="45">
        <f t="shared" si="46"/>
        <v>-2.1184434825408114</v>
      </c>
      <c r="BM64" s="45">
        <f t="shared" si="60"/>
        <v>42368.869650816225</v>
      </c>
      <c r="BN64" s="45">
        <f t="shared" si="61"/>
        <v>400000000</v>
      </c>
      <c r="BO64" s="45">
        <f t="shared" si="47"/>
        <v>4.487802788719641</v>
      </c>
      <c r="BP64" s="45"/>
      <c r="BQ64" s="45"/>
      <c r="BR64" s="50" t="str">
        <f>IF(B53="","",F64)</f>
        <v/>
      </c>
      <c r="BS64" s="50" t="str">
        <f>IF(B53="","",BJ64)</f>
        <v/>
      </c>
      <c r="BT64" s="50" t="str">
        <f t="shared" si="48"/>
        <v/>
      </c>
      <c r="BU64" s="50" t="str">
        <f t="shared" si="49"/>
        <v/>
      </c>
      <c r="BV64" s="50" t="str">
        <f t="shared" si="9"/>
        <v/>
      </c>
      <c r="BW64" s="50" t="str">
        <f t="shared" si="10"/>
        <v/>
      </c>
      <c r="BX64" s="50" t="str">
        <f t="shared" si="50"/>
        <v/>
      </c>
      <c r="BY64" s="45"/>
      <c r="BZ64" s="72"/>
      <c r="CA64" s="72"/>
      <c r="CB64" s="72"/>
      <c r="CC64" s="72"/>
      <c r="CD64" s="72"/>
      <c r="CE64" s="72"/>
      <c r="CF64" s="72"/>
      <c r="CG64" s="72"/>
      <c r="CH64" s="72"/>
      <c r="CI64" s="72"/>
      <c r="CJ64" s="72"/>
      <c r="CK64" s="70"/>
      <c r="CL64" s="70"/>
    </row>
    <row r="65" spans="1:90" x14ac:dyDescent="0.3">
      <c r="A65" s="48">
        <f>'EINGABEN EINZELWERTE'!C22</f>
        <v>0</v>
      </c>
      <c r="B65" s="45" t="str">
        <f t="shared" si="52"/>
        <v/>
      </c>
      <c r="C65" s="48">
        <f>IF((B65=""),MAX(B9:B108),B65)</f>
        <v>20000</v>
      </c>
      <c r="D65" s="45">
        <f>SMALL(C9:C108,57)</f>
        <v>20000</v>
      </c>
      <c r="E65" s="45">
        <f>LARGE(C9:C108,57)</f>
        <v>20000</v>
      </c>
      <c r="F65" s="49">
        <f>IF(Q6=1,D65,-E65)</f>
        <v>-20000</v>
      </c>
      <c r="G65" s="49">
        <f t="shared" si="53"/>
        <v>0.11251763361691523</v>
      </c>
      <c r="H65" s="49">
        <f t="shared" si="11"/>
        <v>0.10731709395383104</v>
      </c>
      <c r="I65" s="45"/>
      <c r="J65" s="45">
        <f>IF(Q6=1,D65,D65)</f>
        <v>20000</v>
      </c>
      <c r="K65" s="45">
        <f t="shared" si="12"/>
        <v>0.88748236638308475</v>
      </c>
      <c r="L65" s="45">
        <f t="shared" si="13"/>
        <v>0.89268290604616896</v>
      </c>
      <c r="M65" s="45">
        <f t="shared" si="54"/>
        <v>0.69871771847211805</v>
      </c>
      <c r="N65" s="48"/>
      <c r="O65" s="68"/>
      <c r="P65" s="67"/>
      <c r="Q65" s="68"/>
      <c r="R65" s="68"/>
      <c r="S65" s="45">
        <f t="shared" si="55"/>
        <v>1</v>
      </c>
      <c r="T65" s="45">
        <f t="shared" si="56"/>
        <v>1</v>
      </c>
      <c r="U65" s="48">
        <f t="shared" si="14"/>
        <v>1.0000000822403709E-9</v>
      </c>
      <c r="V65" s="48">
        <f t="shared" si="15"/>
        <v>1.0000000822403709E-9</v>
      </c>
      <c r="W65" s="45">
        <f t="shared" si="16"/>
        <v>1.0000001644807486E-18</v>
      </c>
      <c r="X65" s="45">
        <f t="shared" si="17"/>
        <v>1.0000001644807486E-18</v>
      </c>
      <c r="Y65" s="45">
        <f t="shared" si="18"/>
        <v>1.0000001644807486E-18</v>
      </c>
      <c r="Z65" s="45"/>
      <c r="AA65" s="45">
        <f t="shared" si="57"/>
        <v>1</v>
      </c>
      <c r="AB65" s="45">
        <f t="shared" si="19"/>
        <v>1</v>
      </c>
      <c r="AC65" s="45">
        <f t="shared" si="20"/>
        <v>1.0000000822403709E-9</v>
      </c>
      <c r="AD65" s="45">
        <f t="shared" si="21"/>
        <v>1.0000000822403709E-9</v>
      </c>
      <c r="AE65" s="45">
        <f t="shared" si="22"/>
        <v>1.0000001644807486E-18</v>
      </c>
      <c r="AF65" s="45">
        <f t="shared" si="23"/>
        <v>1.0000001644807486E-18</v>
      </c>
      <c r="AG65" s="45">
        <f t="shared" si="24"/>
        <v>1.0000001644807486E-18</v>
      </c>
      <c r="AH65" s="45"/>
      <c r="AI65" s="45">
        <f t="shared" si="25"/>
        <v>1</v>
      </c>
      <c r="AJ65" s="45">
        <f t="shared" si="26"/>
        <v>1</v>
      </c>
      <c r="AK65" s="45">
        <f t="shared" si="27"/>
        <v>1.0000000822403709E-9</v>
      </c>
      <c r="AL65" s="45">
        <f t="shared" si="28"/>
        <v>1.0000000822403709E-9</v>
      </c>
      <c r="AM65" s="45">
        <f t="shared" si="29"/>
        <v>1.0000001644807486E-18</v>
      </c>
      <c r="AN65" s="45">
        <f t="shared" si="30"/>
        <v>1.0000001644807486E-18</v>
      </c>
      <c r="AO65" s="45">
        <f t="shared" si="31"/>
        <v>1.0000001644807486E-18</v>
      </c>
      <c r="AP65" s="45"/>
      <c r="AQ65" s="45">
        <f t="shared" si="32"/>
        <v>1</v>
      </c>
      <c r="AR65" s="45">
        <f t="shared" si="33"/>
        <v>1</v>
      </c>
      <c r="AS65" s="45">
        <f t="shared" si="34"/>
        <v>1.0000000822403709E-9</v>
      </c>
      <c r="AT65" s="45">
        <f t="shared" si="35"/>
        <v>1.0000000822403709E-9</v>
      </c>
      <c r="AU65" s="45">
        <f t="shared" si="36"/>
        <v>1.0000001644807486E-18</v>
      </c>
      <c r="AV65" s="45">
        <f t="shared" si="37"/>
        <v>1.0000001644807486E-18</v>
      </c>
      <c r="AW65" s="45">
        <f t="shared" si="38"/>
        <v>1.0000001644807486E-18</v>
      </c>
      <c r="AX65" s="45"/>
      <c r="AY65" s="45"/>
      <c r="AZ65" s="45"/>
      <c r="BA65" s="45" t="str">
        <f t="shared" si="39"/>
        <v/>
      </c>
      <c r="BB65" s="45" t="str">
        <f t="shared" si="40"/>
        <v/>
      </c>
      <c r="BC65" s="45" t="str">
        <f t="shared" si="41"/>
        <v/>
      </c>
      <c r="BD65" s="45" t="str">
        <f t="shared" si="42"/>
        <v/>
      </c>
      <c r="BE65" s="45" t="str">
        <f t="shared" si="58"/>
        <v/>
      </c>
      <c r="BF65" s="45" t="str">
        <f t="shared" si="59"/>
        <v/>
      </c>
      <c r="BG65" s="45" t="str">
        <f t="shared" si="43"/>
        <v/>
      </c>
      <c r="BH65" s="45"/>
      <c r="BI65" s="45">
        <f t="shared" si="51"/>
        <v>-20000</v>
      </c>
      <c r="BJ65" s="45">
        <f t="shared" si="44"/>
        <v>0.10731709395383104</v>
      </c>
      <c r="BK65" s="45">
        <f t="shared" si="45"/>
        <v>0.12021860531546985</v>
      </c>
      <c r="BL65" s="45">
        <f t="shared" si="46"/>
        <v>-2.1184434825408114</v>
      </c>
      <c r="BM65" s="45">
        <f t="shared" si="60"/>
        <v>42368.869650816225</v>
      </c>
      <c r="BN65" s="45">
        <f t="shared" si="61"/>
        <v>400000000</v>
      </c>
      <c r="BO65" s="45">
        <f t="shared" si="47"/>
        <v>4.487802788719641</v>
      </c>
      <c r="BP65" s="45"/>
      <c r="BQ65" s="45"/>
      <c r="BR65" s="50" t="str">
        <f>IF(B52="","",F65)</f>
        <v/>
      </c>
      <c r="BS65" s="50" t="str">
        <f>IF(B52="","",BJ65)</f>
        <v/>
      </c>
      <c r="BT65" s="50" t="str">
        <f t="shared" si="48"/>
        <v/>
      </c>
      <c r="BU65" s="50" t="str">
        <f t="shared" si="49"/>
        <v/>
      </c>
      <c r="BV65" s="50" t="str">
        <f t="shared" si="9"/>
        <v/>
      </c>
      <c r="BW65" s="50" t="str">
        <f t="shared" si="10"/>
        <v/>
      </c>
      <c r="BX65" s="50" t="str">
        <f t="shared" si="50"/>
        <v/>
      </c>
      <c r="BY65" s="45"/>
      <c r="BZ65" s="72"/>
      <c r="CA65" s="72"/>
      <c r="CB65" s="72"/>
      <c r="CC65" s="72"/>
      <c r="CD65" s="72"/>
      <c r="CE65" s="72"/>
      <c r="CF65" s="72"/>
      <c r="CG65" s="72"/>
      <c r="CH65" s="72"/>
      <c r="CI65" s="72"/>
      <c r="CJ65" s="72"/>
      <c r="CK65" s="70"/>
      <c r="CL65" s="70"/>
    </row>
    <row r="66" spans="1:90" x14ac:dyDescent="0.3">
      <c r="A66" s="48">
        <f>'EINGABEN EINZELWERTE'!C23</f>
        <v>0</v>
      </c>
      <c r="B66" s="45" t="str">
        <f t="shared" si="52"/>
        <v/>
      </c>
      <c r="C66" s="48">
        <f>IF((B66=""),MAX(B9:B108),B66)</f>
        <v>20000</v>
      </c>
      <c r="D66" s="45">
        <f>SMALL(C9:C108,58)</f>
        <v>20000</v>
      </c>
      <c r="E66" s="45">
        <f>LARGE(C9:C108,58)</f>
        <v>20000</v>
      </c>
      <c r="F66" s="49">
        <f>IF(Q6=1,D66,-E66)</f>
        <v>-20000</v>
      </c>
      <c r="G66" s="49">
        <f t="shared" si="53"/>
        <v>0.11251763361691523</v>
      </c>
      <c r="H66" s="49">
        <f t="shared" si="11"/>
        <v>0.10731709395383104</v>
      </c>
      <c r="I66" s="45"/>
      <c r="J66" s="45">
        <f>IF(Q6=1,D66,D66)</f>
        <v>20000</v>
      </c>
      <c r="K66" s="45">
        <f t="shared" si="12"/>
        <v>0.88748236638308475</v>
      </c>
      <c r="L66" s="45">
        <f t="shared" si="13"/>
        <v>0.89268290604616896</v>
      </c>
      <c r="M66" s="45">
        <f t="shared" si="54"/>
        <v>0.69871771847211805</v>
      </c>
      <c r="N66" s="48"/>
      <c r="O66" s="68"/>
      <c r="P66" s="67"/>
      <c r="Q66" s="68"/>
      <c r="R66" s="68"/>
      <c r="S66" s="45">
        <f t="shared" si="55"/>
        <v>1</v>
      </c>
      <c r="T66" s="45">
        <f t="shared" si="56"/>
        <v>1</v>
      </c>
      <c r="U66" s="48">
        <f t="shared" si="14"/>
        <v>1.0000000822403709E-9</v>
      </c>
      <c r="V66" s="48">
        <f t="shared" si="15"/>
        <v>1.0000000822403709E-9</v>
      </c>
      <c r="W66" s="45">
        <f t="shared" si="16"/>
        <v>1.0000001644807486E-18</v>
      </c>
      <c r="X66" s="45">
        <f t="shared" si="17"/>
        <v>1.0000001644807486E-18</v>
      </c>
      <c r="Y66" s="45">
        <f t="shared" si="18"/>
        <v>1.0000001644807486E-18</v>
      </c>
      <c r="Z66" s="45"/>
      <c r="AA66" s="45">
        <f t="shared" si="57"/>
        <v>1</v>
      </c>
      <c r="AB66" s="45">
        <f t="shared" si="19"/>
        <v>1</v>
      </c>
      <c r="AC66" s="45">
        <f t="shared" si="20"/>
        <v>1.0000000822403709E-9</v>
      </c>
      <c r="AD66" s="45">
        <f t="shared" si="21"/>
        <v>1.0000000822403709E-9</v>
      </c>
      <c r="AE66" s="45">
        <f t="shared" si="22"/>
        <v>1.0000001644807486E-18</v>
      </c>
      <c r="AF66" s="45">
        <f t="shared" si="23"/>
        <v>1.0000001644807486E-18</v>
      </c>
      <c r="AG66" s="45">
        <f t="shared" si="24"/>
        <v>1.0000001644807486E-18</v>
      </c>
      <c r="AH66" s="45"/>
      <c r="AI66" s="45">
        <f t="shared" si="25"/>
        <v>1</v>
      </c>
      <c r="AJ66" s="45">
        <f t="shared" si="26"/>
        <v>1</v>
      </c>
      <c r="AK66" s="45">
        <f t="shared" si="27"/>
        <v>1.0000000822403709E-9</v>
      </c>
      <c r="AL66" s="45">
        <f t="shared" si="28"/>
        <v>1.0000000822403709E-9</v>
      </c>
      <c r="AM66" s="45">
        <f t="shared" si="29"/>
        <v>1.0000001644807486E-18</v>
      </c>
      <c r="AN66" s="45">
        <f t="shared" si="30"/>
        <v>1.0000001644807486E-18</v>
      </c>
      <c r="AO66" s="45">
        <f t="shared" si="31"/>
        <v>1.0000001644807486E-18</v>
      </c>
      <c r="AP66" s="45"/>
      <c r="AQ66" s="45">
        <f t="shared" si="32"/>
        <v>1</v>
      </c>
      <c r="AR66" s="45">
        <f t="shared" si="33"/>
        <v>1</v>
      </c>
      <c r="AS66" s="45">
        <f t="shared" si="34"/>
        <v>1.0000000822403709E-9</v>
      </c>
      <c r="AT66" s="45">
        <f t="shared" si="35"/>
        <v>1.0000000822403709E-9</v>
      </c>
      <c r="AU66" s="45">
        <f t="shared" si="36"/>
        <v>1.0000001644807486E-18</v>
      </c>
      <c r="AV66" s="45">
        <f t="shared" si="37"/>
        <v>1.0000001644807486E-18</v>
      </c>
      <c r="AW66" s="45">
        <f t="shared" si="38"/>
        <v>1.0000001644807486E-18</v>
      </c>
      <c r="AX66" s="45"/>
      <c r="AY66" s="45"/>
      <c r="AZ66" s="45"/>
      <c r="BA66" s="45" t="str">
        <f t="shared" si="39"/>
        <v/>
      </c>
      <c r="BB66" s="45" t="str">
        <f t="shared" si="40"/>
        <v/>
      </c>
      <c r="BC66" s="45" t="str">
        <f t="shared" si="41"/>
        <v/>
      </c>
      <c r="BD66" s="45" t="str">
        <f t="shared" si="42"/>
        <v/>
      </c>
      <c r="BE66" s="45" t="str">
        <f t="shared" si="58"/>
        <v/>
      </c>
      <c r="BF66" s="45" t="str">
        <f t="shared" si="59"/>
        <v/>
      </c>
      <c r="BG66" s="45" t="str">
        <f t="shared" si="43"/>
        <v/>
      </c>
      <c r="BH66" s="45"/>
      <c r="BI66" s="45">
        <f t="shared" si="51"/>
        <v>-20000</v>
      </c>
      <c r="BJ66" s="45">
        <f t="shared" si="44"/>
        <v>0.10731709395383104</v>
      </c>
      <c r="BK66" s="45">
        <f t="shared" si="45"/>
        <v>0.12021860531546985</v>
      </c>
      <c r="BL66" s="45">
        <f t="shared" si="46"/>
        <v>-2.1184434825408114</v>
      </c>
      <c r="BM66" s="45">
        <f t="shared" si="60"/>
        <v>42368.869650816225</v>
      </c>
      <c r="BN66" s="45">
        <f t="shared" si="61"/>
        <v>400000000</v>
      </c>
      <c r="BO66" s="45">
        <f t="shared" si="47"/>
        <v>4.487802788719641</v>
      </c>
      <c r="BP66" s="45"/>
      <c r="BQ66" s="45"/>
      <c r="BR66" s="50" t="str">
        <f>IF(B51="","",F66)</f>
        <v/>
      </c>
      <c r="BS66" s="50" t="str">
        <f>IF(B51="","",BJ66)</f>
        <v/>
      </c>
      <c r="BT66" s="50" t="str">
        <f t="shared" si="48"/>
        <v/>
      </c>
      <c r="BU66" s="50" t="str">
        <f t="shared" si="49"/>
        <v/>
      </c>
      <c r="BV66" s="50" t="str">
        <f t="shared" si="9"/>
        <v/>
      </c>
      <c r="BW66" s="50" t="str">
        <f t="shared" si="10"/>
        <v/>
      </c>
      <c r="BX66" s="50" t="str">
        <f t="shared" si="50"/>
        <v/>
      </c>
      <c r="BY66" s="45"/>
      <c r="BZ66" s="72"/>
      <c r="CA66" s="72"/>
      <c r="CB66" s="72"/>
      <c r="CC66" s="72"/>
      <c r="CD66" s="72"/>
      <c r="CE66" s="72"/>
      <c r="CF66" s="72"/>
      <c r="CG66" s="72"/>
      <c r="CH66" s="72"/>
      <c r="CI66" s="72"/>
      <c r="CJ66" s="72"/>
      <c r="CK66" s="70"/>
      <c r="CL66" s="70"/>
    </row>
    <row r="67" spans="1:90" x14ac:dyDescent="0.3">
      <c r="A67" s="48">
        <f>'EINGABEN EINZELWERTE'!C24</f>
        <v>0</v>
      </c>
      <c r="B67" s="45" t="str">
        <f t="shared" si="52"/>
        <v/>
      </c>
      <c r="C67" s="48">
        <f>IF((B67=""),MAX(B9:B108),B67)</f>
        <v>20000</v>
      </c>
      <c r="D67" s="45">
        <f>SMALL(C9:C108,59)</f>
        <v>20000</v>
      </c>
      <c r="E67" s="45">
        <f>LARGE(C9:C108,59)</f>
        <v>20000</v>
      </c>
      <c r="F67" s="49">
        <f>IF(Q6=1,D67,-E67)</f>
        <v>-20000</v>
      </c>
      <c r="G67" s="49">
        <f t="shared" si="53"/>
        <v>0.11251763361691523</v>
      </c>
      <c r="H67" s="49">
        <f t="shared" si="11"/>
        <v>0.10731709395383104</v>
      </c>
      <c r="I67" s="45"/>
      <c r="J67" s="45">
        <f>IF(Q6=1,D67,D67)</f>
        <v>20000</v>
      </c>
      <c r="K67" s="45">
        <f t="shared" si="12"/>
        <v>0.88748236638308475</v>
      </c>
      <c r="L67" s="45">
        <f t="shared" si="13"/>
        <v>0.89268290604616896</v>
      </c>
      <c r="M67" s="45">
        <f t="shared" si="54"/>
        <v>0.69871771847211805</v>
      </c>
      <c r="N67" s="48"/>
      <c r="O67" s="68"/>
      <c r="P67" s="67"/>
      <c r="Q67" s="68"/>
      <c r="R67" s="68"/>
      <c r="S67" s="45">
        <f t="shared" si="55"/>
        <v>1</v>
      </c>
      <c r="T67" s="45">
        <f t="shared" si="56"/>
        <v>1</v>
      </c>
      <c r="U67" s="48">
        <f t="shared" si="14"/>
        <v>1.0000000822403709E-9</v>
      </c>
      <c r="V67" s="48">
        <f t="shared" si="15"/>
        <v>1.0000000822403709E-9</v>
      </c>
      <c r="W67" s="45">
        <f t="shared" si="16"/>
        <v>1.0000001644807486E-18</v>
      </c>
      <c r="X67" s="45">
        <f t="shared" si="17"/>
        <v>1.0000001644807486E-18</v>
      </c>
      <c r="Y67" s="45">
        <f t="shared" si="18"/>
        <v>1.0000001644807486E-18</v>
      </c>
      <c r="Z67" s="45"/>
      <c r="AA67" s="45">
        <f t="shared" si="57"/>
        <v>1</v>
      </c>
      <c r="AB67" s="45">
        <f t="shared" si="19"/>
        <v>1</v>
      </c>
      <c r="AC67" s="45">
        <f t="shared" si="20"/>
        <v>1.0000000822403709E-9</v>
      </c>
      <c r="AD67" s="45">
        <f t="shared" si="21"/>
        <v>1.0000000822403709E-9</v>
      </c>
      <c r="AE67" s="45">
        <f t="shared" si="22"/>
        <v>1.0000001644807486E-18</v>
      </c>
      <c r="AF67" s="45">
        <f t="shared" si="23"/>
        <v>1.0000001644807486E-18</v>
      </c>
      <c r="AG67" s="45">
        <f t="shared" si="24"/>
        <v>1.0000001644807486E-18</v>
      </c>
      <c r="AH67" s="45"/>
      <c r="AI67" s="45">
        <f t="shared" si="25"/>
        <v>1</v>
      </c>
      <c r="AJ67" s="45">
        <f t="shared" si="26"/>
        <v>1</v>
      </c>
      <c r="AK67" s="45">
        <f t="shared" si="27"/>
        <v>1.0000000822403709E-9</v>
      </c>
      <c r="AL67" s="45">
        <f t="shared" si="28"/>
        <v>1.0000000822403709E-9</v>
      </c>
      <c r="AM67" s="45">
        <f t="shared" si="29"/>
        <v>1.0000001644807486E-18</v>
      </c>
      <c r="AN67" s="45">
        <f t="shared" si="30"/>
        <v>1.0000001644807486E-18</v>
      </c>
      <c r="AO67" s="45">
        <f t="shared" si="31"/>
        <v>1.0000001644807486E-18</v>
      </c>
      <c r="AP67" s="45"/>
      <c r="AQ67" s="45">
        <f t="shared" si="32"/>
        <v>1</v>
      </c>
      <c r="AR67" s="45">
        <f t="shared" si="33"/>
        <v>1</v>
      </c>
      <c r="AS67" s="45">
        <f t="shared" si="34"/>
        <v>1.0000000822403709E-9</v>
      </c>
      <c r="AT67" s="45">
        <f t="shared" si="35"/>
        <v>1.0000000822403709E-9</v>
      </c>
      <c r="AU67" s="45">
        <f t="shared" si="36"/>
        <v>1.0000001644807486E-18</v>
      </c>
      <c r="AV67" s="45">
        <f t="shared" si="37"/>
        <v>1.0000001644807486E-18</v>
      </c>
      <c r="AW67" s="45">
        <f t="shared" si="38"/>
        <v>1.0000001644807486E-18</v>
      </c>
      <c r="AX67" s="45"/>
      <c r="AY67" s="45"/>
      <c r="AZ67" s="45"/>
      <c r="BA67" s="45" t="str">
        <f t="shared" si="39"/>
        <v/>
      </c>
      <c r="BB67" s="45" t="str">
        <f t="shared" si="40"/>
        <v/>
      </c>
      <c r="BC67" s="45" t="str">
        <f t="shared" si="41"/>
        <v/>
      </c>
      <c r="BD67" s="45" t="str">
        <f t="shared" si="42"/>
        <v/>
      </c>
      <c r="BE67" s="45" t="str">
        <f t="shared" si="58"/>
        <v/>
      </c>
      <c r="BF67" s="45" t="str">
        <f t="shared" si="59"/>
        <v/>
      </c>
      <c r="BG67" s="45" t="str">
        <f t="shared" si="43"/>
        <v/>
      </c>
      <c r="BH67" s="45"/>
      <c r="BI67" s="45">
        <f t="shared" si="51"/>
        <v>-20000</v>
      </c>
      <c r="BJ67" s="45">
        <f t="shared" si="44"/>
        <v>0.10731709395383104</v>
      </c>
      <c r="BK67" s="45">
        <f t="shared" si="45"/>
        <v>0.12021860531546985</v>
      </c>
      <c r="BL67" s="45">
        <f t="shared" si="46"/>
        <v>-2.1184434825408114</v>
      </c>
      <c r="BM67" s="45">
        <f t="shared" si="60"/>
        <v>42368.869650816225</v>
      </c>
      <c r="BN67" s="45">
        <f t="shared" si="61"/>
        <v>400000000</v>
      </c>
      <c r="BO67" s="45">
        <f t="shared" si="47"/>
        <v>4.487802788719641</v>
      </c>
      <c r="BP67" s="45"/>
      <c r="BQ67" s="45"/>
      <c r="BR67" s="50" t="str">
        <f>IF(B50="","",F67)</f>
        <v/>
      </c>
      <c r="BS67" s="50" t="str">
        <f>IF(B50="","",BJ67)</f>
        <v/>
      </c>
      <c r="BT67" s="50" t="str">
        <f t="shared" si="48"/>
        <v/>
      </c>
      <c r="BU67" s="50" t="str">
        <f t="shared" si="49"/>
        <v/>
      </c>
      <c r="BV67" s="50" t="str">
        <f t="shared" si="9"/>
        <v/>
      </c>
      <c r="BW67" s="50" t="str">
        <f t="shared" si="10"/>
        <v/>
      </c>
      <c r="BX67" s="50" t="str">
        <f t="shared" si="50"/>
        <v/>
      </c>
      <c r="BY67" s="45"/>
      <c r="BZ67" s="72"/>
      <c r="CA67" s="72"/>
      <c r="CB67" s="72"/>
      <c r="CC67" s="72"/>
      <c r="CD67" s="72"/>
      <c r="CE67" s="72"/>
      <c r="CF67" s="72"/>
      <c r="CG67" s="72"/>
      <c r="CH67" s="72"/>
      <c r="CI67" s="72"/>
      <c r="CJ67" s="72"/>
      <c r="CK67" s="70"/>
      <c r="CL67" s="70"/>
    </row>
    <row r="68" spans="1:90" x14ac:dyDescent="0.3">
      <c r="A68" s="48">
        <f>'EINGABEN EINZELWERTE'!C25</f>
        <v>0</v>
      </c>
      <c r="B68" s="45" t="str">
        <f t="shared" si="52"/>
        <v/>
      </c>
      <c r="C68" s="48">
        <f>IF((B68=""),MAX(B9:B108),B68)</f>
        <v>20000</v>
      </c>
      <c r="D68" s="45">
        <f>SMALL(C9:C108,60)</f>
        <v>20000</v>
      </c>
      <c r="E68" s="45">
        <f>LARGE(C9:C108,60)</f>
        <v>20000</v>
      </c>
      <c r="F68" s="49">
        <f>IF(Q6=1,D68,-E68)</f>
        <v>-20000</v>
      </c>
      <c r="G68" s="49">
        <f t="shared" si="53"/>
        <v>0.11251763361691523</v>
      </c>
      <c r="H68" s="49">
        <f t="shared" si="11"/>
        <v>0.10731709395383104</v>
      </c>
      <c r="I68" s="45"/>
      <c r="J68" s="45">
        <f>IF(Q6=1,D68,D68)</f>
        <v>20000</v>
      </c>
      <c r="K68" s="45">
        <f t="shared" si="12"/>
        <v>0.88748236638308475</v>
      </c>
      <c r="L68" s="45">
        <f t="shared" si="13"/>
        <v>0.89268290604616896</v>
      </c>
      <c r="M68" s="45">
        <f t="shared" si="54"/>
        <v>0.69871771847211805</v>
      </c>
      <c r="N68" s="48"/>
      <c r="O68" s="68"/>
      <c r="P68" s="67"/>
      <c r="Q68" s="68"/>
      <c r="R68" s="68"/>
      <c r="S68" s="45">
        <f t="shared" si="55"/>
        <v>1</v>
      </c>
      <c r="T68" s="45">
        <f t="shared" si="56"/>
        <v>1</v>
      </c>
      <c r="U68" s="48">
        <f t="shared" si="14"/>
        <v>1.0000000822403709E-9</v>
      </c>
      <c r="V68" s="48">
        <f t="shared" si="15"/>
        <v>1.0000000822403709E-9</v>
      </c>
      <c r="W68" s="45">
        <f t="shared" si="16"/>
        <v>1.0000001644807486E-18</v>
      </c>
      <c r="X68" s="45">
        <f t="shared" si="17"/>
        <v>1.0000001644807486E-18</v>
      </c>
      <c r="Y68" s="45">
        <f t="shared" si="18"/>
        <v>1.0000001644807486E-18</v>
      </c>
      <c r="Z68" s="45"/>
      <c r="AA68" s="45">
        <f t="shared" si="57"/>
        <v>1</v>
      </c>
      <c r="AB68" s="45">
        <f t="shared" si="19"/>
        <v>1</v>
      </c>
      <c r="AC68" s="45">
        <f t="shared" si="20"/>
        <v>1.0000000822403709E-9</v>
      </c>
      <c r="AD68" s="45">
        <f t="shared" si="21"/>
        <v>1.0000000822403709E-9</v>
      </c>
      <c r="AE68" s="45">
        <f t="shared" si="22"/>
        <v>1.0000001644807486E-18</v>
      </c>
      <c r="AF68" s="45">
        <f t="shared" si="23"/>
        <v>1.0000001644807486E-18</v>
      </c>
      <c r="AG68" s="45">
        <f t="shared" si="24"/>
        <v>1.0000001644807486E-18</v>
      </c>
      <c r="AH68" s="45"/>
      <c r="AI68" s="45">
        <f t="shared" si="25"/>
        <v>1</v>
      </c>
      <c r="AJ68" s="45">
        <f t="shared" si="26"/>
        <v>1</v>
      </c>
      <c r="AK68" s="45">
        <f t="shared" si="27"/>
        <v>1.0000000822403709E-9</v>
      </c>
      <c r="AL68" s="45">
        <f t="shared" si="28"/>
        <v>1.0000000822403709E-9</v>
      </c>
      <c r="AM68" s="45">
        <f t="shared" si="29"/>
        <v>1.0000001644807486E-18</v>
      </c>
      <c r="AN68" s="45">
        <f t="shared" si="30"/>
        <v>1.0000001644807486E-18</v>
      </c>
      <c r="AO68" s="45">
        <f t="shared" si="31"/>
        <v>1.0000001644807486E-18</v>
      </c>
      <c r="AP68" s="45"/>
      <c r="AQ68" s="45">
        <f t="shared" si="32"/>
        <v>1</v>
      </c>
      <c r="AR68" s="45">
        <f t="shared" si="33"/>
        <v>1</v>
      </c>
      <c r="AS68" s="45">
        <f t="shared" si="34"/>
        <v>1.0000000822403709E-9</v>
      </c>
      <c r="AT68" s="45">
        <f t="shared" si="35"/>
        <v>1.0000000822403709E-9</v>
      </c>
      <c r="AU68" s="45">
        <f t="shared" si="36"/>
        <v>1.0000001644807486E-18</v>
      </c>
      <c r="AV68" s="45">
        <f t="shared" si="37"/>
        <v>1.0000001644807486E-18</v>
      </c>
      <c r="AW68" s="45">
        <f t="shared" si="38"/>
        <v>1.0000001644807486E-18</v>
      </c>
      <c r="AX68" s="45"/>
      <c r="AY68" s="45"/>
      <c r="AZ68" s="45"/>
      <c r="BA68" s="45" t="str">
        <f t="shared" si="39"/>
        <v/>
      </c>
      <c r="BB68" s="45" t="str">
        <f t="shared" si="40"/>
        <v/>
      </c>
      <c r="BC68" s="45" t="str">
        <f t="shared" si="41"/>
        <v/>
      </c>
      <c r="BD68" s="45" t="str">
        <f t="shared" si="42"/>
        <v/>
      </c>
      <c r="BE68" s="45" t="str">
        <f t="shared" si="58"/>
        <v/>
      </c>
      <c r="BF68" s="45" t="str">
        <f t="shared" si="59"/>
        <v/>
      </c>
      <c r="BG68" s="45" t="str">
        <f t="shared" si="43"/>
        <v/>
      </c>
      <c r="BH68" s="45"/>
      <c r="BI68" s="45">
        <f t="shared" si="51"/>
        <v>-20000</v>
      </c>
      <c r="BJ68" s="45">
        <f t="shared" si="44"/>
        <v>0.10731709395383104</v>
      </c>
      <c r="BK68" s="45">
        <f t="shared" si="45"/>
        <v>0.12021860531546985</v>
      </c>
      <c r="BL68" s="45">
        <f t="shared" si="46"/>
        <v>-2.1184434825408114</v>
      </c>
      <c r="BM68" s="45">
        <f t="shared" si="60"/>
        <v>42368.869650816225</v>
      </c>
      <c r="BN68" s="45">
        <f t="shared" si="61"/>
        <v>400000000</v>
      </c>
      <c r="BO68" s="45">
        <f t="shared" si="47"/>
        <v>4.487802788719641</v>
      </c>
      <c r="BP68" s="45"/>
      <c r="BQ68" s="45"/>
      <c r="BR68" s="50" t="str">
        <f>IF(B49="","",F68)</f>
        <v/>
      </c>
      <c r="BS68" s="50" t="str">
        <f>IF(B49="","",BJ68)</f>
        <v/>
      </c>
      <c r="BT68" s="50" t="str">
        <f t="shared" si="48"/>
        <v/>
      </c>
      <c r="BU68" s="50" t="str">
        <f t="shared" si="49"/>
        <v/>
      </c>
      <c r="BV68" s="50" t="str">
        <f t="shared" si="9"/>
        <v/>
      </c>
      <c r="BW68" s="50" t="str">
        <f t="shared" si="10"/>
        <v/>
      </c>
      <c r="BX68" s="50" t="str">
        <f t="shared" si="50"/>
        <v/>
      </c>
      <c r="BY68" s="45"/>
      <c r="BZ68" s="72"/>
      <c r="CA68" s="72"/>
      <c r="CB68" s="72"/>
      <c r="CC68" s="72"/>
      <c r="CD68" s="72"/>
      <c r="CE68" s="72"/>
      <c r="CF68" s="72"/>
      <c r="CG68" s="72"/>
      <c r="CH68" s="72"/>
      <c r="CI68" s="72"/>
      <c r="CJ68" s="72"/>
      <c r="CK68" s="70"/>
      <c r="CL68" s="70"/>
    </row>
    <row r="69" spans="1:90" x14ac:dyDescent="0.3">
      <c r="A69" s="48">
        <f>'EINGABEN EINZELWERTE'!D6</f>
        <v>0</v>
      </c>
      <c r="B69" s="45" t="str">
        <f t="shared" si="52"/>
        <v/>
      </c>
      <c r="C69" s="48">
        <f>IF((B69=""),MAX(B9:B108),B69)</f>
        <v>20000</v>
      </c>
      <c r="D69" s="45">
        <f>SMALL(C9:C108,61)</f>
        <v>20000</v>
      </c>
      <c r="E69" s="45">
        <f>LARGE(C9:C108,61)</f>
        <v>20000</v>
      </c>
      <c r="F69" s="49">
        <f>IF(Q6=1,D69,-E69)</f>
        <v>-20000</v>
      </c>
      <c r="G69" s="49">
        <f t="shared" si="53"/>
        <v>0.11251763361691523</v>
      </c>
      <c r="H69" s="49">
        <f t="shared" si="11"/>
        <v>0.10731709395383104</v>
      </c>
      <c r="I69" s="45"/>
      <c r="J69" s="45">
        <f>IF(Q6=1,D69,D69)</f>
        <v>20000</v>
      </c>
      <c r="K69" s="45">
        <f t="shared" si="12"/>
        <v>0.88748236638308475</v>
      </c>
      <c r="L69" s="45">
        <f t="shared" si="13"/>
        <v>0.89268290604616896</v>
      </c>
      <c r="M69" s="45">
        <f t="shared" si="54"/>
        <v>0.69871771847211805</v>
      </c>
      <c r="N69" s="48"/>
      <c r="O69" s="68"/>
      <c r="P69" s="67"/>
      <c r="Q69" s="68"/>
      <c r="R69" s="68"/>
      <c r="S69" s="45">
        <f t="shared" si="55"/>
        <v>1</v>
      </c>
      <c r="T69" s="45">
        <f t="shared" si="56"/>
        <v>1</v>
      </c>
      <c r="U69" s="48">
        <f t="shared" si="14"/>
        <v>1.0000000822403709E-9</v>
      </c>
      <c r="V69" s="48">
        <f t="shared" si="15"/>
        <v>1.0000000822403709E-9</v>
      </c>
      <c r="W69" s="45">
        <f t="shared" si="16"/>
        <v>1.0000001644807486E-18</v>
      </c>
      <c r="X69" s="45">
        <f t="shared" si="17"/>
        <v>1.0000001644807486E-18</v>
      </c>
      <c r="Y69" s="45">
        <f t="shared" si="18"/>
        <v>1.0000001644807486E-18</v>
      </c>
      <c r="Z69" s="45"/>
      <c r="AA69" s="45">
        <f t="shared" si="57"/>
        <v>1</v>
      </c>
      <c r="AB69" s="45">
        <f t="shared" si="19"/>
        <v>1</v>
      </c>
      <c r="AC69" s="45">
        <f t="shared" si="20"/>
        <v>1.0000000822403709E-9</v>
      </c>
      <c r="AD69" s="45">
        <f t="shared" si="21"/>
        <v>1.0000000822403709E-9</v>
      </c>
      <c r="AE69" s="45">
        <f t="shared" si="22"/>
        <v>1.0000001644807486E-18</v>
      </c>
      <c r="AF69" s="45">
        <f t="shared" si="23"/>
        <v>1.0000001644807486E-18</v>
      </c>
      <c r="AG69" s="45">
        <f t="shared" si="24"/>
        <v>1.0000001644807486E-18</v>
      </c>
      <c r="AH69" s="45"/>
      <c r="AI69" s="45">
        <f t="shared" si="25"/>
        <v>1</v>
      </c>
      <c r="AJ69" s="45">
        <f t="shared" si="26"/>
        <v>1</v>
      </c>
      <c r="AK69" s="45">
        <f t="shared" si="27"/>
        <v>1.0000000822403709E-9</v>
      </c>
      <c r="AL69" s="45">
        <f t="shared" si="28"/>
        <v>1.0000000822403709E-9</v>
      </c>
      <c r="AM69" s="45">
        <f t="shared" si="29"/>
        <v>1.0000001644807486E-18</v>
      </c>
      <c r="AN69" s="45">
        <f t="shared" si="30"/>
        <v>1.0000001644807486E-18</v>
      </c>
      <c r="AO69" s="45">
        <f t="shared" si="31"/>
        <v>1.0000001644807486E-18</v>
      </c>
      <c r="AP69" s="45"/>
      <c r="AQ69" s="45">
        <f t="shared" si="32"/>
        <v>1</v>
      </c>
      <c r="AR69" s="45">
        <f t="shared" si="33"/>
        <v>1</v>
      </c>
      <c r="AS69" s="45">
        <f t="shared" si="34"/>
        <v>1.0000000822403709E-9</v>
      </c>
      <c r="AT69" s="45">
        <f t="shared" si="35"/>
        <v>1.0000000822403709E-9</v>
      </c>
      <c r="AU69" s="45">
        <f t="shared" si="36"/>
        <v>1.0000001644807486E-18</v>
      </c>
      <c r="AV69" s="45">
        <f t="shared" si="37"/>
        <v>1.0000001644807486E-18</v>
      </c>
      <c r="AW69" s="45">
        <f t="shared" si="38"/>
        <v>1.0000001644807486E-18</v>
      </c>
      <c r="AX69" s="45"/>
      <c r="AY69" s="45"/>
      <c r="AZ69" s="45"/>
      <c r="BA69" s="45" t="str">
        <f t="shared" si="39"/>
        <v/>
      </c>
      <c r="BB69" s="45" t="str">
        <f t="shared" si="40"/>
        <v/>
      </c>
      <c r="BC69" s="45" t="str">
        <f t="shared" si="41"/>
        <v/>
      </c>
      <c r="BD69" s="45" t="str">
        <f t="shared" si="42"/>
        <v/>
      </c>
      <c r="BE69" s="45" t="str">
        <f t="shared" si="58"/>
        <v/>
      </c>
      <c r="BF69" s="45" t="str">
        <f t="shared" si="59"/>
        <v/>
      </c>
      <c r="BG69" s="45" t="str">
        <f t="shared" si="43"/>
        <v/>
      </c>
      <c r="BH69" s="45"/>
      <c r="BI69" s="45">
        <f t="shared" si="51"/>
        <v>-20000</v>
      </c>
      <c r="BJ69" s="45">
        <f t="shared" si="44"/>
        <v>0.10731709395383104</v>
      </c>
      <c r="BK69" s="45">
        <f t="shared" si="45"/>
        <v>0.12021860531546985</v>
      </c>
      <c r="BL69" s="45">
        <f t="shared" si="46"/>
        <v>-2.1184434825408114</v>
      </c>
      <c r="BM69" s="45">
        <f t="shared" si="60"/>
        <v>42368.869650816225</v>
      </c>
      <c r="BN69" s="45">
        <f t="shared" si="61"/>
        <v>400000000</v>
      </c>
      <c r="BO69" s="45">
        <f t="shared" si="47"/>
        <v>4.487802788719641</v>
      </c>
      <c r="BP69" s="45"/>
      <c r="BQ69" s="45"/>
      <c r="BR69" s="50" t="str">
        <f>IF(B48="","",F69)</f>
        <v/>
      </c>
      <c r="BS69" s="50" t="str">
        <f>IF(B48="","",BJ69)</f>
        <v/>
      </c>
      <c r="BT69" s="50" t="str">
        <f t="shared" si="48"/>
        <v/>
      </c>
      <c r="BU69" s="50" t="str">
        <f t="shared" si="49"/>
        <v/>
      </c>
      <c r="BV69" s="50" t="str">
        <f t="shared" si="9"/>
        <v/>
      </c>
      <c r="BW69" s="50" t="str">
        <f t="shared" si="10"/>
        <v/>
      </c>
      <c r="BX69" s="50" t="str">
        <f t="shared" si="50"/>
        <v/>
      </c>
      <c r="BY69" s="45"/>
      <c r="BZ69" s="72"/>
      <c r="CA69" s="72"/>
      <c r="CB69" s="72"/>
      <c r="CC69" s="72"/>
      <c r="CD69" s="72"/>
      <c r="CE69" s="72"/>
      <c r="CF69" s="72"/>
      <c r="CG69" s="72"/>
      <c r="CH69" s="72"/>
      <c r="CI69" s="72"/>
      <c r="CJ69" s="72"/>
      <c r="CK69" s="70"/>
      <c r="CL69" s="70"/>
    </row>
    <row r="70" spans="1:90" x14ac:dyDescent="0.3">
      <c r="A70" s="48">
        <f>'EINGABEN EINZELWERTE'!D7</f>
        <v>0</v>
      </c>
      <c r="B70" s="45" t="str">
        <f t="shared" si="52"/>
        <v/>
      </c>
      <c r="C70" s="48">
        <f>IF((B70=""),MAX(B9:B108),B70)</f>
        <v>20000</v>
      </c>
      <c r="D70" s="45">
        <f>SMALL(C9:C108,62)</f>
        <v>20000</v>
      </c>
      <c r="E70" s="45">
        <f>LARGE(C9:C108,62)</f>
        <v>20000</v>
      </c>
      <c r="F70" s="49">
        <f>IF(Q6=1,D70,-E70)</f>
        <v>-20000</v>
      </c>
      <c r="G70" s="49">
        <f t="shared" si="53"/>
        <v>0.11251763361691523</v>
      </c>
      <c r="H70" s="49">
        <f t="shared" si="11"/>
        <v>0.10731709395383104</v>
      </c>
      <c r="I70" s="45"/>
      <c r="J70" s="45">
        <f>IF(Q6=1,D70,D70)</f>
        <v>20000</v>
      </c>
      <c r="K70" s="45">
        <f t="shared" si="12"/>
        <v>0.88748236638308475</v>
      </c>
      <c r="L70" s="45">
        <f t="shared" si="13"/>
        <v>0.89268290604616896</v>
      </c>
      <c r="M70" s="45">
        <f t="shared" si="54"/>
        <v>0.69871771847211805</v>
      </c>
      <c r="N70" s="48"/>
      <c r="O70" s="68"/>
      <c r="P70" s="67"/>
      <c r="Q70" s="68"/>
      <c r="R70" s="68"/>
      <c r="S70" s="45">
        <f t="shared" si="55"/>
        <v>1</v>
      </c>
      <c r="T70" s="45">
        <f t="shared" si="56"/>
        <v>1</v>
      </c>
      <c r="U70" s="48">
        <f t="shared" si="14"/>
        <v>1.0000000822403709E-9</v>
      </c>
      <c r="V70" s="48">
        <f t="shared" si="15"/>
        <v>1.0000000822403709E-9</v>
      </c>
      <c r="W70" s="45">
        <f t="shared" si="16"/>
        <v>1.0000001644807486E-18</v>
      </c>
      <c r="X70" s="45">
        <f t="shared" si="17"/>
        <v>1.0000001644807486E-18</v>
      </c>
      <c r="Y70" s="45">
        <f t="shared" si="18"/>
        <v>1.0000001644807486E-18</v>
      </c>
      <c r="Z70" s="45"/>
      <c r="AA70" s="45">
        <f t="shared" si="57"/>
        <v>1</v>
      </c>
      <c r="AB70" s="45">
        <f t="shared" si="19"/>
        <v>1</v>
      </c>
      <c r="AC70" s="45">
        <f t="shared" si="20"/>
        <v>1.0000000822403709E-9</v>
      </c>
      <c r="AD70" s="45">
        <f t="shared" si="21"/>
        <v>1.0000000822403709E-9</v>
      </c>
      <c r="AE70" s="45">
        <f t="shared" si="22"/>
        <v>1.0000001644807486E-18</v>
      </c>
      <c r="AF70" s="45">
        <f t="shared" si="23"/>
        <v>1.0000001644807486E-18</v>
      </c>
      <c r="AG70" s="45">
        <f t="shared" si="24"/>
        <v>1.0000001644807486E-18</v>
      </c>
      <c r="AH70" s="45"/>
      <c r="AI70" s="45">
        <f t="shared" si="25"/>
        <v>1</v>
      </c>
      <c r="AJ70" s="45">
        <f t="shared" si="26"/>
        <v>1</v>
      </c>
      <c r="AK70" s="45">
        <f t="shared" si="27"/>
        <v>1.0000000822403709E-9</v>
      </c>
      <c r="AL70" s="45">
        <f t="shared" si="28"/>
        <v>1.0000000822403709E-9</v>
      </c>
      <c r="AM70" s="45">
        <f t="shared" si="29"/>
        <v>1.0000001644807486E-18</v>
      </c>
      <c r="AN70" s="45">
        <f t="shared" si="30"/>
        <v>1.0000001644807486E-18</v>
      </c>
      <c r="AO70" s="45">
        <f t="shared" si="31"/>
        <v>1.0000001644807486E-18</v>
      </c>
      <c r="AP70" s="45"/>
      <c r="AQ70" s="45">
        <f t="shared" si="32"/>
        <v>1</v>
      </c>
      <c r="AR70" s="45">
        <f t="shared" si="33"/>
        <v>1</v>
      </c>
      <c r="AS70" s="45">
        <f t="shared" si="34"/>
        <v>1.0000000822403709E-9</v>
      </c>
      <c r="AT70" s="45">
        <f t="shared" si="35"/>
        <v>1.0000000822403709E-9</v>
      </c>
      <c r="AU70" s="45">
        <f t="shared" si="36"/>
        <v>1.0000001644807486E-18</v>
      </c>
      <c r="AV70" s="45">
        <f t="shared" si="37"/>
        <v>1.0000001644807486E-18</v>
      </c>
      <c r="AW70" s="45">
        <f t="shared" si="38"/>
        <v>1.0000001644807486E-18</v>
      </c>
      <c r="AX70" s="45"/>
      <c r="AY70" s="45"/>
      <c r="AZ70" s="45"/>
      <c r="BA70" s="45" t="str">
        <f t="shared" si="39"/>
        <v/>
      </c>
      <c r="BB70" s="45" t="str">
        <f t="shared" si="40"/>
        <v/>
      </c>
      <c r="BC70" s="45" t="str">
        <f t="shared" si="41"/>
        <v/>
      </c>
      <c r="BD70" s="45" t="str">
        <f t="shared" si="42"/>
        <v/>
      </c>
      <c r="BE70" s="45" t="str">
        <f t="shared" si="58"/>
        <v/>
      </c>
      <c r="BF70" s="45" t="str">
        <f t="shared" si="59"/>
        <v/>
      </c>
      <c r="BG70" s="45" t="str">
        <f t="shared" si="43"/>
        <v/>
      </c>
      <c r="BH70" s="45"/>
      <c r="BI70" s="45">
        <f t="shared" si="51"/>
        <v>-20000</v>
      </c>
      <c r="BJ70" s="45">
        <f t="shared" si="44"/>
        <v>0.10731709395383104</v>
      </c>
      <c r="BK70" s="45">
        <f t="shared" si="45"/>
        <v>0.12021860531546985</v>
      </c>
      <c r="BL70" s="45">
        <f t="shared" si="46"/>
        <v>-2.1184434825408114</v>
      </c>
      <c r="BM70" s="45">
        <f t="shared" si="60"/>
        <v>42368.869650816225</v>
      </c>
      <c r="BN70" s="45">
        <f t="shared" si="61"/>
        <v>400000000</v>
      </c>
      <c r="BO70" s="45">
        <f t="shared" si="47"/>
        <v>4.487802788719641</v>
      </c>
      <c r="BP70" s="45"/>
      <c r="BQ70" s="45"/>
      <c r="BR70" s="50" t="str">
        <f>IF(B47="","",F70)</f>
        <v/>
      </c>
      <c r="BS70" s="50" t="str">
        <f>IF(B43="","",BJ70)</f>
        <v/>
      </c>
      <c r="BT70" s="50" t="str">
        <f t="shared" si="48"/>
        <v/>
      </c>
      <c r="BU70" s="50" t="str">
        <f t="shared" si="49"/>
        <v/>
      </c>
      <c r="BV70" s="50" t="str">
        <f t="shared" si="9"/>
        <v/>
      </c>
      <c r="BW70" s="50" t="str">
        <f t="shared" si="10"/>
        <v/>
      </c>
      <c r="BX70" s="50" t="str">
        <f t="shared" si="50"/>
        <v/>
      </c>
      <c r="BY70" s="45"/>
      <c r="BZ70" s="72"/>
      <c r="CA70" s="72"/>
      <c r="CB70" s="72"/>
      <c r="CC70" s="72"/>
      <c r="CD70" s="72"/>
      <c r="CE70" s="72"/>
      <c r="CF70" s="72"/>
      <c r="CG70" s="72"/>
      <c r="CH70" s="72"/>
      <c r="CI70" s="72"/>
      <c r="CJ70" s="72"/>
      <c r="CK70" s="70"/>
      <c r="CL70" s="70"/>
    </row>
    <row r="71" spans="1:90" x14ac:dyDescent="0.3">
      <c r="A71" s="48">
        <f>'EINGABEN EINZELWERTE'!D8</f>
        <v>0</v>
      </c>
      <c r="B71" s="45" t="str">
        <f t="shared" si="52"/>
        <v/>
      </c>
      <c r="C71" s="48">
        <f>IF((B71=""),MAX(B9:B108),B71)</f>
        <v>20000</v>
      </c>
      <c r="D71" s="45">
        <f>SMALL(C9:C108,63)</f>
        <v>20000</v>
      </c>
      <c r="E71" s="45">
        <f>LARGE(C9:C108,63)</f>
        <v>20000</v>
      </c>
      <c r="F71" s="49">
        <f>IF(Q6=1,D71,-E71)</f>
        <v>-20000</v>
      </c>
      <c r="G71" s="49">
        <f t="shared" si="53"/>
        <v>0.11251763361691523</v>
      </c>
      <c r="H71" s="49">
        <f t="shared" si="11"/>
        <v>0.10731709395383104</v>
      </c>
      <c r="I71" s="45"/>
      <c r="J71" s="45">
        <f>IF(Q6=1,D71,D71)</f>
        <v>20000</v>
      </c>
      <c r="K71" s="45">
        <f t="shared" si="12"/>
        <v>0.88748236638308475</v>
      </c>
      <c r="L71" s="45">
        <f t="shared" si="13"/>
        <v>0.89268290604616896</v>
      </c>
      <c r="M71" s="45">
        <f t="shared" si="54"/>
        <v>0.69871771847211805</v>
      </c>
      <c r="N71" s="48"/>
      <c r="O71" s="68"/>
      <c r="P71" s="67"/>
      <c r="Q71" s="68"/>
      <c r="R71" s="68"/>
      <c r="S71" s="45">
        <f t="shared" si="55"/>
        <v>1</v>
      </c>
      <c r="T71" s="45">
        <f t="shared" si="56"/>
        <v>1</v>
      </c>
      <c r="U71" s="48">
        <f t="shared" si="14"/>
        <v>1.0000000822403709E-9</v>
      </c>
      <c r="V71" s="48">
        <f t="shared" si="15"/>
        <v>1.0000000822403709E-9</v>
      </c>
      <c r="W71" s="45">
        <f t="shared" si="16"/>
        <v>1.0000001644807486E-18</v>
      </c>
      <c r="X71" s="45">
        <f t="shared" si="17"/>
        <v>1.0000001644807486E-18</v>
      </c>
      <c r="Y71" s="45">
        <f t="shared" si="18"/>
        <v>1.0000001644807486E-18</v>
      </c>
      <c r="Z71" s="45"/>
      <c r="AA71" s="45">
        <f t="shared" si="57"/>
        <v>1</v>
      </c>
      <c r="AB71" s="45">
        <f t="shared" si="19"/>
        <v>1</v>
      </c>
      <c r="AC71" s="45">
        <f t="shared" si="20"/>
        <v>1.0000000822403709E-9</v>
      </c>
      <c r="AD71" s="45">
        <f t="shared" si="21"/>
        <v>1.0000000822403709E-9</v>
      </c>
      <c r="AE71" s="45">
        <f t="shared" si="22"/>
        <v>1.0000001644807486E-18</v>
      </c>
      <c r="AF71" s="45">
        <f t="shared" si="23"/>
        <v>1.0000001644807486E-18</v>
      </c>
      <c r="AG71" s="45">
        <f t="shared" si="24"/>
        <v>1.0000001644807486E-18</v>
      </c>
      <c r="AH71" s="45"/>
      <c r="AI71" s="45">
        <f t="shared" si="25"/>
        <v>1</v>
      </c>
      <c r="AJ71" s="45">
        <f t="shared" si="26"/>
        <v>1</v>
      </c>
      <c r="AK71" s="45">
        <f t="shared" si="27"/>
        <v>1.0000000822403709E-9</v>
      </c>
      <c r="AL71" s="45">
        <f t="shared" si="28"/>
        <v>1.0000000822403709E-9</v>
      </c>
      <c r="AM71" s="45">
        <f t="shared" si="29"/>
        <v>1.0000001644807486E-18</v>
      </c>
      <c r="AN71" s="45">
        <f t="shared" si="30"/>
        <v>1.0000001644807486E-18</v>
      </c>
      <c r="AO71" s="45">
        <f t="shared" si="31"/>
        <v>1.0000001644807486E-18</v>
      </c>
      <c r="AP71" s="45"/>
      <c r="AQ71" s="45">
        <f t="shared" si="32"/>
        <v>1</v>
      </c>
      <c r="AR71" s="45">
        <f t="shared" si="33"/>
        <v>1</v>
      </c>
      <c r="AS71" s="45">
        <f t="shared" si="34"/>
        <v>1.0000000822403709E-9</v>
      </c>
      <c r="AT71" s="45">
        <f t="shared" si="35"/>
        <v>1.0000000822403709E-9</v>
      </c>
      <c r="AU71" s="45">
        <f t="shared" si="36"/>
        <v>1.0000001644807486E-18</v>
      </c>
      <c r="AV71" s="45">
        <f t="shared" si="37"/>
        <v>1.0000001644807486E-18</v>
      </c>
      <c r="AW71" s="45">
        <f t="shared" si="38"/>
        <v>1.0000001644807486E-18</v>
      </c>
      <c r="AX71" s="45"/>
      <c r="AY71" s="45"/>
      <c r="AZ71" s="45"/>
      <c r="BA71" s="45" t="str">
        <f t="shared" si="39"/>
        <v/>
      </c>
      <c r="BB71" s="45" t="str">
        <f t="shared" si="40"/>
        <v/>
      </c>
      <c r="BC71" s="45" t="str">
        <f t="shared" si="41"/>
        <v/>
      </c>
      <c r="BD71" s="45" t="str">
        <f t="shared" si="42"/>
        <v/>
      </c>
      <c r="BE71" s="45" t="str">
        <f t="shared" si="58"/>
        <v/>
      </c>
      <c r="BF71" s="45" t="str">
        <f t="shared" si="59"/>
        <v/>
      </c>
      <c r="BG71" s="45" t="str">
        <f t="shared" si="43"/>
        <v/>
      </c>
      <c r="BH71" s="45"/>
      <c r="BI71" s="45">
        <f t="shared" si="51"/>
        <v>-20000</v>
      </c>
      <c r="BJ71" s="45">
        <f t="shared" si="44"/>
        <v>0.10731709395383104</v>
      </c>
      <c r="BK71" s="45">
        <f t="shared" si="45"/>
        <v>0.12021860531546985</v>
      </c>
      <c r="BL71" s="45">
        <f t="shared" si="46"/>
        <v>-2.1184434825408114</v>
      </c>
      <c r="BM71" s="45">
        <f t="shared" si="60"/>
        <v>42368.869650816225</v>
      </c>
      <c r="BN71" s="45">
        <f t="shared" si="61"/>
        <v>400000000</v>
      </c>
      <c r="BO71" s="45">
        <f t="shared" si="47"/>
        <v>4.487802788719641</v>
      </c>
      <c r="BP71" s="45"/>
      <c r="BQ71" s="45"/>
      <c r="BR71" s="50" t="str">
        <f>IF(B46="","",F71)</f>
        <v/>
      </c>
      <c r="BS71" s="50" t="str">
        <f>IF(B46="","",BJ71)</f>
        <v/>
      </c>
      <c r="BT71" s="50" t="str">
        <f t="shared" si="48"/>
        <v/>
      </c>
      <c r="BU71" s="50" t="str">
        <f t="shared" si="49"/>
        <v/>
      </c>
      <c r="BV71" s="50" t="str">
        <f t="shared" si="9"/>
        <v/>
      </c>
      <c r="BW71" s="50" t="str">
        <f t="shared" si="10"/>
        <v/>
      </c>
      <c r="BX71" s="50" t="str">
        <f t="shared" si="50"/>
        <v/>
      </c>
      <c r="BY71" s="45"/>
      <c r="BZ71" s="72"/>
      <c r="CA71" s="72"/>
      <c r="CB71" s="72"/>
      <c r="CC71" s="72"/>
      <c r="CD71" s="72"/>
      <c r="CE71" s="72"/>
      <c r="CF71" s="72"/>
      <c r="CG71" s="72"/>
      <c r="CH71" s="72"/>
      <c r="CI71" s="72"/>
      <c r="CJ71" s="72"/>
      <c r="CK71" s="70"/>
      <c r="CL71" s="70"/>
    </row>
    <row r="72" spans="1:90" x14ac:dyDescent="0.3">
      <c r="A72" s="48">
        <f>'EINGABEN EINZELWERTE'!D9</f>
        <v>0</v>
      </c>
      <c r="B72" s="45" t="str">
        <f t="shared" si="52"/>
        <v/>
      </c>
      <c r="C72" s="48">
        <f>IF((B72=""),MAX(B9:B108),B72)</f>
        <v>20000</v>
      </c>
      <c r="D72" s="45">
        <f>SMALL(C9:C108,64)</f>
        <v>20000</v>
      </c>
      <c r="E72" s="45">
        <f>LARGE(C9:C108,64)</f>
        <v>20000</v>
      </c>
      <c r="F72" s="49">
        <f>IF(Q6=1,D72,-E72)</f>
        <v>-20000</v>
      </c>
      <c r="G72" s="49">
        <f t="shared" si="53"/>
        <v>0.11251763361691523</v>
      </c>
      <c r="H72" s="49">
        <f t="shared" si="11"/>
        <v>0.10731709395383104</v>
      </c>
      <c r="I72" s="45"/>
      <c r="J72" s="45">
        <f>IF(Q6=1,D72,D72)</f>
        <v>20000</v>
      </c>
      <c r="K72" s="45">
        <f t="shared" si="12"/>
        <v>0.88748236638308475</v>
      </c>
      <c r="L72" s="45">
        <f t="shared" si="13"/>
        <v>0.89268290604616896</v>
      </c>
      <c r="M72" s="45">
        <f t="shared" si="54"/>
        <v>0.69871771847211805</v>
      </c>
      <c r="N72" s="48"/>
      <c r="O72" s="68"/>
      <c r="P72" s="67"/>
      <c r="Q72" s="68"/>
      <c r="R72" s="68"/>
      <c r="S72" s="45">
        <f t="shared" si="55"/>
        <v>1</v>
      </c>
      <c r="T72" s="45">
        <f t="shared" si="56"/>
        <v>1</v>
      </c>
      <c r="U72" s="48">
        <f t="shared" si="14"/>
        <v>1.0000000822403709E-9</v>
      </c>
      <c r="V72" s="48">
        <f t="shared" si="15"/>
        <v>1.0000000822403709E-9</v>
      </c>
      <c r="W72" s="45">
        <f t="shared" si="16"/>
        <v>1.0000001644807486E-18</v>
      </c>
      <c r="X72" s="45">
        <f t="shared" si="17"/>
        <v>1.0000001644807486E-18</v>
      </c>
      <c r="Y72" s="45">
        <f t="shared" si="18"/>
        <v>1.0000001644807486E-18</v>
      </c>
      <c r="Z72" s="45"/>
      <c r="AA72" s="45">
        <f t="shared" si="57"/>
        <v>1</v>
      </c>
      <c r="AB72" s="45">
        <f t="shared" si="19"/>
        <v>1</v>
      </c>
      <c r="AC72" s="45">
        <f t="shared" si="20"/>
        <v>1.0000000822403709E-9</v>
      </c>
      <c r="AD72" s="45">
        <f t="shared" si="21"/>
        <v>1.0000000822403709E-9</v>
      </c>
      <c r="AE72" s="45">
        <f t="shared" si="22"/>
        <v>1.0000001644807486E-18</v>
      </c>
      <c r="AF72" s="45">
        <f t="shared" si="23"/>
        <v>1.0000001644807486E-18</v>
      </c>
      <c r="AG72" s="45">
        <f t="shared" si="24"/>
        <v>1.0000001644807486E-18</v>
      </c>
      <c r="AH72" s="45"/>
      <c r="AI72" s="45">
        <f t="shared" si="25"/>
        <v>1</v>
      </c>
      <c r="AJ72" s="45">
        <f t="shared" si="26"/>
        <v>1</v>
      </c>
      <c r="AK72" s="45">
        <f t="shared" si="27"/>
        <v>1.0000000822403709E-9</v>
      </c>
      <c r="AL72" s="45">
        <f t="shared" si="28"/>
        <v>1.0000000822403709E-9</v>
      </c>
      <c r="AM72" s="45">
        <f t="shared" si="29"/>
        <v>1.0000001644807486E-18</v>
      </c>
      <c r="AN72" s="45">
        <f t="shared" si="30"/>
        <v>1.0000001644807486E-18</v>
      </c>
      <c r="AO72" s="45">
        <f t="shared" si="31"/>
        <v>1.0000001644807486E-18</v>
      </c>
      <c r="AP72" s="45"/>
      <c r="AQ72" s="45">
        <f t="shared" si="32"/>
        <v>1</v>
      </c>
      <c r="AR72" s="45">
        <f t="shared" si="33"/>
        <v>1</v>
      </c>
      <c r="AS72" s="45">
        <f t="shared" si="34"/>
        <v>1.0000000822403709E-9</v>
      </c>
      <c r="AT72" s="45">
        <f t="shared" si="35"/>
        <v>1.0000000822403709E-9</v>
      </c>
      <c r="AU72" s="45">
        <f t="shared" si="36"/>
        <v>1.0000001644807486E-18</v>
      </c>
      <c r="AV72" s="45">
        <f t="shared" si="37"/>
        <v>1.0000001644807486E-18</v>
      </c>
      <c r="AW72" s="45">
        <f t="shared" si="38"/>
        <v>1.0000001644807486E-18</v>
      </c>
      <c r="AX72" s="45"/>
      <c r="AY72" s="45"/>
      <c r="AZ72" s="45"/>
      <c r="BA72" s="45" t="str">
        <f t="shared" si="39"/>
        <v/>
      </c>
      <c r="BB72" s="45" t="str">
        <f t="shared" si="40"/>
        <v/>
      </c>
      <c r="BC72" s="45" t="str">
        <f t="shared" si="41"/>
        <v/>
      </c>
      <c r="BD72" s="45" t="str">
        <f t="shared" si="42"/>
        <v/>
      </c>
      <c r="BE72" s="45" t="str">
        <f t="shared" si="58"/>
        <v/>
      </c>
      <c r="BF72" s="45" t="str">
        <f t="shared" si="59"/>
        <v/>
      </c>
      <c r="BG72" s="45" t="str">
        <f t="shared" si="43"/>
        <v/>
      </c>
      <c r="BH72" s="45"/>
      <c r="BI72" s="45">
        <f t="shared" si="51"/>
        <v>-20000</v>
      </c>
      <c r="BJ72" s="45">
        <f t="shared" si="44"/>
        <v>0.10731709395383104</v>
      </c>
      <c r="BK72" s="45">
        <f t="shared" si="45"/>
        <v>0.12021860531546985</v>
      </c>
      <c r="BL72" s="45">
        <f t="shared" si="46"/>
        <v>-2.1184434825408114</v>
      </c>
      <c r="BM72" s="45">
        <f t="shared" si="60"/>
        <v>42368.869650816225</v>
      </c>
      <c r="BN72" s="45">
        <f t="shared" si="61"/>
        <v>400000000</v>
      </c>
      <c r="BO72" s="45">
        <f t="shared" si="47"/>
        <v>4.487802788719641</v>
      </c>
      <c r="BP72" s="45"/>
      <c r="BQ72" s="45"/>
      <c r="BR72" s="50" t="str">
        <f>IF(B45="","",F72)</f>
        <v/>
      </c>
      <c r="BS72" s="50" t="str">
        <f>IF(B45="","",BJ72)</f>
        <v/>
      </c>
      <c r="BT72" s="50" t="str">
        <f t="shared" si="48"/>
        <v/>
      </c>
      <c r="BU72" s="50" t="str">
        <f t="shared" si="49"/>
        <v/>
      </c>
      <c r="BV72" s="50" t="str">
        <f t="shared" si="9"/>
        <v/>
      </c>
      <c r="BW72" s="50" t="str">
        <f t="shared" si="10"/>
        <v/>
      </c>
      <c r="BX72" s="50" t="str">
        <f t="shared" si="50"/>
        <v/>
      </c>
      <c r="BY72" s="45"/>
      <c r="BZ72" s="72"/>
      <c r="CA72" s="72"/>
      <c r="CB72" s="72"/>
      <c r="CC72" s="72"/>
      <c r="CD72" s="72"/>
      <c r="CE72" s="72"/>
      <c r="CF72" s="72"/>
      <c r="CG72" s="72"/>
      <c r="CH72" s="72"/>
      <c r="CI72" s="72"/>
      <c r="CJ72" s="72"/>
      <c r="CK72" s="70"/>
      <c r="CL72" s="70"/>
    </row>
    <row r="73" spans="1:90" x14ac:dyDescent="0.3">
      <c r="A73" s="48">
        <f>'EINGABEN EINZELWERTE'!D10</f>
        <v>0</v>
      </c>
      <c r="B73" s="45" t="str">
        <f t="shared" si="52"/>
        <v/>
      </c>
      <c r="C73" s="48">
        <f>IF((B73=""),MAX(B9:B108),B73)</f>
        <v>20000</v>
      </c>
      <c r="D73" s="45">
        <f>SMALL(C9:C108,65)</f>
        <v>20000</v>
      </c>
      <c r="E73" s="45">
        <f>LARGE(C9:C108,65)</f>
        <v>20000</v>
      </c>
      <c r="F73" s="49">
        <f>IF(Q6=1,D73,-E73)</f>
        <v>-20000</v>
      </c>
      <c r="G73" s="49">
        <f t="shared" ref="G73:G104" si="62">_xlfn.NORM.DIST(F73,$F$109,$F$110,1)</f>
        <v>0.11251763361691523</v>
      </c>
      <c r="H73" s="49">
        <f t="shared" si="11"/>
        <v>0.10731709395383104</v>
      </c>
      <c r="I73" s="45"/>
      <c r="J73" s="45">
        <f>IF(Q6=1,D73,D73)</f>
        <v>20000</v>
      </c>
      <c r="K73" s="45">
        <f t="shared" si="12"/>
        <v>0.88748236638308475</v>
      </c>
      <c r="L73" s="45">
        <f t="shared" si="13"/>
        <v>0.89268290604616896</v>
      </c>
      <c r="M73" s="45">
        <f t="shared" ref="M73:M108" si="63">_xlfn.NORM.DIST(J73,$K$112,$K$110,1)</f>
        <v>0.69871771847211805</v>
      </c>
      <c r="N73" s="48"/>
      <c r="O73" s="68"/>
      <c r="P73" s="67"/>
      <c r="Q73" s="68"/>
      <c r="R73" s="68"/>
      <c r="S73" s="45">
        <f t="shared" ref="S73:S108" si="64">IF(B73="",1,G73)</f>
        <v>1</v>
      </c>
      <c r="T73" s="45">
        <f t="shared" ref="T73:T108" si="65">IF(B73="",1,H73)</f>
        <v>1</v>
      </c>
      <c r="U73" s="48">
        <f t="shared" si="14"/>
        <v>1.0000000822403709E-9</v>
      </c>
      <c r="V73" s="48">
        <f t="shared" si="15"/>
        <v>1.0000000822403709E-9</v>
      </c>
      <c r="W73" s="45">
        <f t="shared" si="16"/>
        <v>1.0000001644807486E-18</v>
      </c>
      <c r="X73" s="45">
        <f t="shared" si="17"/>
        <v>1.0000001644807486E-18</v>
      </c>
      <c r="Y73" s="45">
        <f t="shared" si="18"/>
        <v>1.0000001644807486E-18</v>
      </c>
      <c r="Z73" s="45"/>
      <c r="AA73" s="45">
        <f t="shared" ref="AA73:AA108" si="66">IF(B73="",1,G73)</f>
        <v>1</v>
      </c>
      <c r="AB73" s="45">
        <f t="shared" si="19"/>
        <v>1</v>
      </c>
      <c r="AC73" s="45">
        <f t="shared" si="20"/>
        <v>1.0000000822403709E-9</v>
      </c>
      <c r="AD73" s="45">
        <f t="shared" si="21"/>
        <v>1.0000000822403709E-9</v>
      </c>
      <c r="AE73" s="45">
        <f t="shared" si="22"/>
        <v>1.0000001644807486E-18</v>
      </c>
      <c r="AF73" s="45">
        <f t="shared" si="23"/>
        <v>1.0000001644807486E-18</v>
      </c>
      <c r="AG73" s="45">
        <f t="shared" si="24"/>
        <v>1.0000001644807486E-18</v>
      </c>
      <c r="AH73" s="45"/>
      <c r="AI73" s="45">
        <f t="shared" si="25"/>
        <v>1</v>
      </c>
      <c r="AJ73" s="45">
        <f t="shared" si="26"/>
        <v>1</v>
      </c>
      <c r="AK73" s="45">
        <f t="shared" si="27"/>
        <v>1.0000000822403709E-9</v>
      </c>
      <c r="AL73" s="45">
        <f t="shared" si="28"/>
        <v>1.0000000822403709E-9</v>
      </c>
      <c r="AM73" s="45">
        <f t="shared" si="29"/>
        <v>1.0000001644807486E-18</v>
      </c>
      <c r="AN73" s="45">
        <f t="shared" si="30"/>
        <v>1.0000001644807486E-18</v>
      </c>
      <c r="AO73" s="45">
        <f t="shared" si="31"/>
        <v>1.0000001644807486E-18</v>
      </c>
      <c r="AP73" s="45"/>
      <c r="AQ73" s="45">
        <f t="shared" si="32"/>
        <v>1</v>
      </c>
      <c r="AR73" s="45">
        <f t="shared" si="33"/>
        <v>1</v>
      </c>
      <c r="AS73" s="45">
        <f t="shared" si="34"/>
        <v>1.0000000822403709E-9</v>
      </c>
      <c r="AT73" s="45">
        <f t="shared" si="35"/>
        <v>1.0000000822403709E-9</v>
      </c>
      <c r="AU73" s="45">
        <f t="shared" si="36"/>
        <v>1.0000001644807486E-18</v>
      </c>
      <c r="AV73" s="45">
        <f t="shared" si="37"/>
        <v>1.0000001644807486E-18</v>
      </c>
      <c r="AW73" s="45">
        <f t="shared" si="38"/>
        <v>1.0000001644807486E-18</v>
      </c>
      <c r="AX73" s="45"/>
      <c r="AY73" s="45"/>
      <c r="AZ73" s="45"/>
      <c r="BA73" s="45" t="str">
        <f t="shared" si="39"/>
        <v/>
      </c>
      <c r="BB73" s="45" t="str">
        <f t="shared" si="40"/>
        <v/>
      </c>
      <c r="BC73" s="45" t="str">
        <f t="shared" si="41"/>
        <v/>
      </c>
      <c r="BD73" s="45" t="str">
        <f t="shared" si="42"/>
        <v/>
      </c>
      <c r="BE73" s="45" t="str">
        <f t="shared" ref="BE73:BE104" si="67">IF(BA73="","",(BA73*BD73))</f>
        <v/>
      </c>
      <c r="BF73" s="45" t="str">
        <f t="shared" ref="BF73:BF108" si="68">IF(BA73="","",(BA73^2))</f>
        <v/>
      </c>
      <c r="BG73" s="45" t="str">
        <f t="shared" si="43"/>
        <v/>
      </c>
      <c r="BH73" s="45"/>
      <c r="BI73" s="45">
        <f t="shared" si="51"/>
        <v>-20000</v>
      </c>
      <c r="BJ73" s="45">
        <f t="shared" si="44"/>
        <v>0.10731709395383104</v>
      </c>
      <c r="BK73" s="45">
        <f t="shared" si="45"/>
        <v>0.12021860531546985</v>
      </c>
      <c r="BL73" s="45">
        <f t="shared" si="46"/>
        <v>-2.1184434825408114</v>
      </c>
      <c r="BM73" s="45">
        <f t="shared" ref="BM73:BM104" si="69">IF(BI73="","",(BI73*BL73))</f>
        <v>42368.869650816225</v>
      </c>
      <c r="BN73" s="45">
        <f t="shared" ref="BN73:BN108" si="70">IF(BI73="","",(BI73^2))</f>
        <v>400000000</v>
      </c>
      <c r="BO73" s="45">
        <f t="shared" si="47"/>
        <v>4.487802788719641</v>
      </c>
      <c r="BP73" s="45"/>
      <c r="BQ73" s="45"/>
      <c r="BR73" s="50" t="str">
        <f>IF(B44="","",F73)</f>
        <v/>
      </c>
      <c r="BS73" s="50" t="str">
        <f>IF(B44="","",BJ73)</f>
        <v/>
      </c>
      <c r="BT73" s="50" t="str">
        <f t="shared" si="48"/>
        <v/>
      </c>
      <c r="BU73" s="50" t="str">
        <f t="shared" si="49"/>
        <v/>
      </c>
      <c r="BV73" s="50" t="str">
        <f t="shared" ref="BV73:BV108" si="71">IF(BR73="","",(BR73*BU73))</f>
        <v/>
      </c>
      <c r="BW73" s="50" t="str">
        <f t="shared" ref="BW73:BW108" si="72">IF(BR73="","",(BR73^2))</f>
        <v/>
      </c>
      <c r="BX73" s="50" t="str">
        <f t="shared" si="50"/>
        <v/>
      </c>
      <c r="BY73" s="45"/>
      <c r="BZ73" s="72"/>
      <c r="CA73" s="72"/>
      <c r="CB73" s="72"/>
      <c r="CC73" s="72"/>
      <c r="CD73" s="72"/>
      <c r="CE73" s="72"/>
      <c r="CF73" s="72"/>
      <c r="CG73" s="72"/>
      <c r="CH73" s="72"/>
      <c r="CI73" s="72"/>
      <c r="CJ73" s="72"/>
      <c r="CK73" s="70"/>
      <c r="CL73" s="70"/>
    </row>
    <row r="74" spans="1:90" x14ac:dyDescent="0.3">
      <c r="A74" s="48">
        <f>'EINGABEN EINZELWERTE'!D11</f>
        <v>0</v>
      </c>
      <c r="B74" s="45" t="str">
        <f t="shared" si="52"/>
        <v/>
      </c>
      <c r="C74" s="48">
        <f>IF((B74=""),MAX(B9:B108),B74)</f>
        <v>20000</v>
      </c>
      <c r="D74" s="45">
        <f>SMALL(C9:C108,66)</f>
        <v>20000</v>
      </c>
      <c r="E74" s="45">
        <f>LARGE(C9:C108,66)</f>
        <v>20000</v>
      </c>
      <c r="F74" s="49">
        <f>IF(Q6=1,D74,-E74)</f>
        <v>-20000</v>
      </c>
      <c r="G74" s="53">
        <f t="shared" si="62"/>
        <v>0.11251763361691523</v>
      </c>
      <c r="H74" s="49">
        <f t="shared" ref="H74:H108" si="73">_xlfn.NORM.DIST(F74,$G$109,$G$110,1)</f>
        <v>0.10731709395383104</v>
      </c>
      <c r="I74" s="45"/>
      <c r="J74" s="45">
        <f>IF(Q6=1,D74,D74)</f>
        <v>20000</v>
      </c>
      <c r="K74" s="45">
        <f t="shared" ref="K74:K108" si="74">_xlfn.NORM.DIST(J74,$J$109,$J$110,1)</f>
        <v>0.88748236638308475</v>
      </c>
      <c r="L74" s="45">
        <f t="shared" ref="L74:L108" si="75">_xlfn.NORM.DIST(J74,$K$111,$K$110,1)</f>
        <v>0.89268290604616896</v>
      </c>
      <c r="M74" s="45">
        <f t="shared" si="63"/>
        <v>0.69871771847211805</v>
      </c>
      <c r="N74" s="48"/>
      <c r="O74" s="68"/>
      <c r="P74" s="67"/>
      <c r="Q74" s="68"/>
      <c r="R74" s="68"/>
      <c r="S74" s="45">
        <f t="shared" si="64"/>
        <v>1</v>
      </c>
      <c r="T74" s="45">
        <f t="shared" si="65"/>
        <v>1</v>
      </c>
      <c r="U74" s="48">
        <f t="shared" ref="U74:U108" si="76">(LN(S74+0.000000001))</f>
        <v>1.0000000822403709E-9</v>
      </c>
      <c r="V74" s="48">
        <f t="shared" ref="V74:V108" si="77">(LN(T74+10^-9))</f>
        <v>1.0000000822403709E-9</v>
      </c>
      <c r="W74" s="45">
        <f t="shared" ref="W74:W108" si="78">(U74*V74)</f>
        <v>1.0000001644807486E-18</v>
      </c>
      <c r="X74" s="45">
        <f t="shared" ref="X74:X108" si="79">(U74)^2</f>
        <v>1.0000001644807486E-18</v>
      </c>
      <c r="Y74" s="45">
        <f t="shared" ref="Y74:Y108" si="80">(V74)^2</f>
        <v>1.0000001644807486E-18</v>
      </c>
      <c r="Z74" s="45"/>
      <c r="AA74" s="45">
        <f t="shared" si="66"/>
        <v>1</v>
      </c>
      <c r="AB74" s="45">
        <f t="shared" ref="AB74:AB108" si="81">IF(B74="",1,H74)</f>
        <v>1</v>
      </c>
      <c r="AC74" s="45">
        <f t="shared" ref="AC74:AC108" si="82">(LN(AA74+0.000000001))</f>
        <v>1.0000000822403709E-9</v>
      </c>
      <c r="AD74" s="45">
        <f t="shared" ref="AD74:AD108" si="83">(LN(AB74+10^-9))</f>
        <v>1.0000000822403709E-9</v>
      </c>
      <c r="AE74" s="45">
        <f t="shared" ref="AE74:AE108" si="84">(AC74*AD74)</f>
        <v>1.0000001644807486E-18</v>
      </c>
      <c r="AF74" s="45">
        <f t="shared" ref="AF74:AF108" si="85">(AC74)^2</f>
        <v>1.0000001644807486E-18</v>
      </c>
      <c r="AG74" s="45">
        <f t="shared" ref="AG74:AG108" si="86">(AD74)^2</f>
        <v>1.0000001644807486E-18</v>
      </c>
      <c r="AH74" s="45"/>
      <c r="AI74" s="45">
        <f t="shared" ref="AI74:AI108" si="87">IF(B74="",1,K74)</f>
        <v>1</v>
      </c>
      <c r="AJ74" s="45">
        <f t="shared" ref="AJ74:AJ108" si="88">IF(B74="",1,L74)</f>
        <v>1</v>
      </c>
      <c r="AK74" s="45">
        <f t="shared" ref="AK74:AK108" si="89">(LN(AI74+0.000000001))</f>
        <v>1.0000000822403709E-9</v>
      </c>
      <c r="AL74" s="45">
        <f t="shared" ref="AL74:AL108" si="90">(LN(AJ74+10^-9))</f>
        <v>1.0000000822403709E-9</v>
      </c>
      <c r="AM74" s="45">
        <f t="shared" ref="AM74:AM108" si="91">(AK74*AL74)</f>
        <v>1.0000001644807486E-18</v>
      </c>
      <c r="AN74" s="45">
        <f t="shared" ref="AN74:AN108" si="92">(AK74)^2</f>
        <v>1.0000001644807486E-18</v>
      </c>
      <c r="AO74" s="45">
        <f t="shared" ref="AO74:AO108" si="93">(AL74)^2</f>
        <v>1.0000001644807486E-18</v>
      </c>
      <c r="AP74" s="45"/>
      <c r="AQ74" s="45">
        <f t="shared" ref="AQ74:AQ108" si="94">IF(B74="",1,K74)</f>
        <v>1</v>
      </c>
      <c r="AR74" s="45">
        <f t="shared" ref="AR74:AR108" si="95">IF(B74="",1,M74)</f>
        <v>1</v>
      </c>
      <c r="AS74" s="45">
        <f t="shared" ref="AS74:AS108" si="96">(LN(AQ74+0.000000001))</f>
        <v>1.0000000822403709E-9</v>
      </c>
      <c r="AT74" s="45">
        <f t="shared" ref="AT74:AT108" si="97">(LN(AR74+10^-9))</f>
        <v>1.0000000822403709E-9</v>
      </c>
      <c r="AU74" s="45">
        <f t="shared" ref="AU74:AU108" si="98">(AS74*AT74)</f>
        <v>1.0000001644807486E-18</v>
      </c>
      <c r="AV74" s="45">
        <f t="shared" ref="AV74:AV108" si="99">(AS74)^2</f>
        <v>1.0000001644807486E-18</v>
      </c>
      <c r="AW74" s="45">
        <f t="shared" ref="AW74:AW108" si="100">(AT74)^2</f>
        <v>1.0000001644807486E-18</v>
      </c>
      <c r="AX74" s="45"/>
      <c r="AY74" s="45"/>
      <c r="AZ74" s="45"/>
      <c r="BA74" s="45" t="str">
        <f t="shared" ref="BA74:BA108" si="101">IF(B74="","",F74)</f>
        <v/>
      </c>
      <c r="BB74" s="45" t="str">
        <f t="shared" ref="BB74:BB108" si="102">IF(BA74="","",H74)</f>
        <v/>
      </c>
      <c r="BC74" s="45" t="str">
        <f t="shared" ref="BC74:BC108" si="103">IF(BA74="","",(BB74^-1-1)^-1)</f>
        <v/>
      </c>
      <c r="BD74" s="45" t="str">
        <f t="shared" ref="BD74:BD108" si="104">IF(BA74="","",(LN(BC74)))</f>
        <v/>
      </c>
      <c r="BE74" s="45" t="str">
        <f t="shared" si="67"/>
        <v/>
      </c>
      <c r="BF74" s="45" t="str">
        <f t="shared" si="68"/>
        <v/>
      </c>
      <c r="BG74" s="45" t="str">
        <f t="shared" ref="BG74:BG108" si="105">IF(BD74="","",BD74^2)</f>
        <v/>
      </c>
      <c r="BH74" s="45"/>
      <c r="BI74" s="45">
        <f t="shared" ref="BI74:BI108" si="106">(F74)</f>
        <v>-20000</v>
      </c>
      <c r="BJ74" s="45">
        <f t="shared" ref="BJ74:BJ108" si="107">IF(BI74="","",H74)</f>
        <v>0.10731709395383104</v>
      </c>
      <c r="BK74" s="45">
        <f t="shared" ref="BK74:BK108" si="108">IF(BI74="","",(BJ74^-1-1)^-1)</f>
        <v>0.12021860531546985</v>
      </c>
      <c r="BL74" s="45">
        <f t="shared" ref="BL74:BL108" si="109">IF(BI74="","",(LN(BK74)))</f>
        <v>-2.1184434825408114</v>
      </c>
      <c r="BM74" s="45">
        <f t="shared" si="69"/>
        <v>42368.869650816225</v>
      </c>
      <c r="BN74" s="45">
        <f t="shared" si="70"/>
        <v>400000000</v>
      </c>
      <c r="BO74" s="45">
        <f t="shared" ref="BO74:BO108" si="110">IF(BL74="","",BL74^2)</f>
        <v>4.487802788719641</v>
      </c>
      <c r="BP74" s="45"/>
      <c r="BQ74" s="45"/>
      <c r="BR74" s="50" t="str">
        <f>IF(B43="","",F74)</f>
        <v/>
      </c>
      <c r="BS74" s="50" t="str">
        <f>IF(B43="","",BJ74)</f>
        <v/>
      </c>
      <c r="BT74" s="50" t="str">
        <f t="shared" ref="BT74:BT108" si="111">IF(BR74="","",(BS74^-1-1)^-1)</f>
        <v/>
      </c>
      <c r="BU74" s="50" t="str">
        <f t="shared" ref="BU74:BU108" si="112">IF(BR74="","",(LN(BT74)))</f>
        <v/>
      </c>
      <c r="BV74" s="50" t="str">
        <f t="shared" si="71"/>
        <v/>
      </c>
      <c r="BW74" s="50" t="str">
        <f t="shared" si="72"/>
        <v/>
      </c>
      <c r="BX74" s="50" t="str">
        <f t="shared" ref="BX74:BX108" si="113">IF(BU74="","",BU74^2)</f>
        <v/>
      </c>
      <c r="BY74" s="45"/>
      <c r="BZ74" s="72"/>
      <c r="CA74" s="72"/>
      <c r="CB74" s="72"/>
      <c r="CC74" s="72"/>
      <c r="CD74" s="72"/>
      <c r="CE74" s="72"/>
      <c r="CF74" s="72"/>
      <c r="CG74" s="72"/>
      <c r="CH74" s="72"/>
      <c r="CI74" s="72"/>
      <c r="CJ74" s="72"/>
      <c r="CK74" s="70"/>
      <c r="CL74" s="70"/>
    </row>
    <row r="75" spans="1:90" x14ac:dyDescent="0.3">
      <c r="A75" s="48">
        <f>'EINGABEN EINZELWERTE'!D12</f>
        <v>0</v>
      </c>
      <c r="B75" s="45" t="str">
        <f t="shared" si="52"/>
        <v/>
      </c>
      <c r="C75" s="48">
        <f>IF((B75=""),MAX(B9:B108),B75)</f>
        <v>20000</v>
      </c>
      <c r="D75" s="45">
        <f>SMALL(C9:C108,67)</f>
        <v>20000</v>
      </c>
      <c r="E75" s="45">
        <f>LARGE(C9:C108,67)</f>
        <v>20000</v>
      </c>
      <c r="F75" s="49">
        <f>IF(Q6=1,D75,-E75)</f>
        <v>-20000</v>
      </c>
      <c r="G75" s="49">
        <f t="shared" si="62"/>
        <v>0.11251763361691523</v>
      </c>
      <c r="H75" s="49">
        <f t="shared" si="73"/>
        <v>0.10731709395383104</v>
      </c>
      <c r="I75" s="45"/>
      <c r="J75" s="45">
        <f>IF(Q6=1,D75,D75)</f>
        <v>20000</v>
      </c>
      <c r="K75" s="45">
        <f t="shared" si="74"/>
        <v>0.88748236638308475</v>
      </c>
      <c r="L75" s="45">
        <f t="shared" si="75"/>
        <v>0.89268290604616896</v>
      </c>
      <c r="M75" s="45">
        <f t="shared" si="63"/>
        <v>0.69871771847211805</v>
      </c>
      <c r="N75" s="48"/>
      <c r="O75" s="68"/>
      <c r="P75" s="67"/>
      <c r="Q75" s="68"/>
      <c r="R75" s="68"/>
      <c r="S75" s="45">
        <f t="shared" si="64"/>
        <v>1</v>
      </c>
      <c r="T75" s="45">
        <f t="shared" si="65"/>
        <v>1</v>
      </c>
      <c r="U75" s="48">
        <f t="shared" si="76"/>
        <v>1.0000000822403709E-9</v>
      </c>
      <c r="V75" s="48">
        <f t="shared" si="77"/>
        <v>1.0000000822403709E-9</v>
      </c>
      <c r="W75" s="45">
        <f t="shared" si="78"/>
        <v>1.0000001644807486E-18</v>
      </c>
      <c r="X75" s="45">
        <f t="shared" si="79"/>
        <v>1.0000001644807486E-18</v>
      </c>
      <c r="Y75" s="45">
        <f t="shared" si="80"/>
        <v>1.0000001644807486E-18</v>
      </c>
      <c r="Z75" s="45"/>
      <c r="AA75" s="45">
        <f t="shared" si="66"/>
        <v>1</v>
      </c>
      <c r="AB75" s="45">
        <f t="shared" si="81"/>
        <v>1</v>
      </c>
      <c r="AC75" s="45">
        <f t="shared" si="82"/>
        <v>1.0000000822403709E-9</v>
      </c>
      <c r="AD75" s="45">
        <f t="shared" si="83"/>
        <v>1.0000000822403709E-9</v>
      </c>
      <c r="AE75" s="45">
        <f t="shared" si="84"/>
        <v>1.0000001644807486E-18</v>
      </c>
      <c r="AF75" s="45">
        <f t="shared" si="85"/>
        <v>1.0000001644807486E-18</v>
      </c>
      <c r="AG75" s="45">
        <f t="shared" si="86"/>
        <v>1.0000001644807486E-18</v>
      </c>
      <c r="AH75" s="45"/>
      <c r="AI75" s="45">
        <f t="shared" si="87"/>
        <v>1</v>
      </c>
      <c r="AJ75" s="45">
        <f t="shared" si="88"/>
        <v>1</v>
      </c>
      <c r="AK75" s="45">
        <f t="shared" si="89"/>
        <v>1.0000000822403709E-9</v>
      </c>
      <c r="AL75" s="45">
        <f t="shared" si="90"/>
        <v>1.0000000822403709E-9</v>
      </c>
      <c r="AM75" s="45">
        <f t="shared" si="91"/>
        <v>1.0000001644807486E-18</v>
      </c>
      <c r="AN75" s="45">
        <f t="shared" si="92"/>
        <v>1.0000001644807486E-18</v>
      </c>
      <c r="AO75" s="45">
        <f t="shared" si="93"/>
        <v>1.0000001644807486E-18</v>
      </c>
      <c r="AP75" s="45"/>
      <c r="AQ75" s="45">
        <f t="shared" si="94"/>
        <v>1</v>
      </c>
      <c r="AR75" s="45">
        <f t="shared" si="95"/>
        <v>1</v>
      </c>
      <c r="AS75" s="45">
        <f t="shared" si="96"/>
        <v>1.0000000822403709E-9</v>
      </c>
      <c r="AT75" s="45">
        <f t="shared" si="97"/>
        <v>1.0000000822403709E-9</v>
      </c>
      <c r="AU75" s="45">
        <f t="shared" si="98"/>
        <v>1.0000001644807486E-18</v>
      </c>
      <c r="AV75" s="45">
        <f t="shared" si="99"/>
        <v>1.0000001644807486E-18</v>
      </c>
      <c r="AW75" s="45">
        <f t="shared" si="100"/>
        <v>1.0000001644807486E-18</v>
      </c>
      <c r="AX75" s="45"/>
      <c r="AY75" s="45"/>
      <c r="AZ75" s="45"/>
      <c r="BA75" s="45" t="str">
        <f t="shared" si="101"/>
        <v/>
      </c>
      <c r="BB75" s="45" t="str">
        <f t="shared" si="102"/>
        <v/>
      </c>
      <c r="BC75" s="45" t="str">
        <f t="shared" si="103"/>
        <v/>
      </c>
      <c r="BD75" s="45" t="str">
        <f t="shared" si="104"/>
        <v/>
      </c>
      <c r="BE75" s="45" t="str">
        <f t="shared" si="67"/>
        <v/>
      </c>
      <c r="BF75" s="45" t="str">
        <f t="shared" si="68"/>
        <v/>
      </c>
      <c r="BG75" s="45" t="str">
        <f t="shared" si="105"/>
        <v/>
      </c>
      <c r="BH75" s="45"/>
      <c r="BI75" s="45">
        <f t="shared" si="106"/>
        <v>-20000</v>
      </c>
      <c r="BJ75" s="45">
        <f t="shared" si="107"/>
        <v>0.10731709395383104</v>
      </c>
      <c r="BK75" s="45">
        <f t="shared" si="108"/>
        <v>0.12021860531546985</v>
      </c>
      <c r="BL75" s="45">
        <f t="shared" si="109"/>
        <v>-2.1184434825408114</v>
      </c>
      <c r="BM75" s="45">
        <f t="shared" si="69"/>
        <v>42368.869650816225</v>
      </c>
      <c r="BN75" s="45">
        <f t="shared" si="70"/>
        <v>400000000</v>
      </c>
      <c r="BO75" s="45">
        <f t="shared" si="110"/>
        <v>4.487802788719641</v>
      </c>
      <c r="BP75" s="45"/>
      <c r="BQ75" s="45"/>
      <c r="BR75" s="50" t="str">
        <f>IF(B42="","",F75)</f>
        <v/>
      </c>
      <c r="BS75" s="50" t="str">
        <f>IF(B42="","",BJ75)</f>
        <v/>
      </c>
      <c r="BT75" s="50" t="str">
        <f t="shared" si="111"/>
        <v/>
      </c>
      <c r="BU75" s="50" t="str">
        <f t="shared" si="112"/>
        <v/>
      </c>
      <c r="BV75" s="50" t="str">
        <f t="shared" si="71"/>
        <v/>
      </c>
      <c r="BW75" s="50" t="str">
        <f t="shared" si="72"/>
        <v/>
      </c>
      <c r="BX75" s="50" t="str">
        <f t="shared" si="113"/>
        <v/>
      </c>
      <c r="BY75" s="45"/>
      <c r="BZ75" s="72"/>
      <c r="CA75" s="72"/>
      <c r="CB75" s="72"/>
      <c r="CC75" s="72"/>
      <c r="CD75" s="72"/>
      <c r="CE75" s="72"/>
      <c r="CF75" s="72"/>
      <c r="CG75" s="72"/>
      <c r="CH75" s="72"/>
      <c r="CI75" s="72"/>
      <c r="CJ75" s="72"/>
      <c r="CK75" s="70"/>
      <c r="CL75" s="70"/>
    </row>
    <row r="76" spans="1:90" x14ac:dyDescent="0.3">
      <c r="A76" s="48">
        <f>'EINGABEN EINZELWERTE'!D13</f>
        <v>0</v>
      </c>
      <c r="B76" s="45" t="str">
        <f t="shared" si="52"/>
        <v/>
      </c>
      <c r="C76" s="48">
        <f>IF((B76=""),MAX(B9:B108),B76)</f>
        <v>20000</v>
      </c>
      <c r="D76" s="45">
        <f>SMALL(C9:C108,68)</f>
        <v>20000</v>
      </c>
      <c r="E76" s="45">
        <f>LARGE(C9:C108,68)</f>
        <v>20000</v>
      </c>
      <c r="F76" s="49">
        <f>IF(Q6=1,D76,-E76)</f>
        <v>-20000</v>
      </c>
      <c r="G76" s="49">
        <f t="shared" si="62"/>
        <v>0.11251763361691523</v>
      </c>
      <c r="H76" s="49">
        <f t="shared" si="73"/>
        <v>0.10731709395383104</v>
      </c>
      <c r="I76" s="45"/>
      <c r="J76" s="45">
        <f>IF(Q6=1,D76,D76)</f>
        <v>20000</v>
      </c>
      <c r="K76" s="45">
        <f t="shared" si="74"/>
        <v>0.88748236638308475</v>
      </c>
      <c r="L76" s="45">
        <f t="shared" si="75"/>
        <v>0.89268290604616896</v>
      </c>
      <c r="M76" s="45">
        <f t="shared" si="63"/>
        <v>0.69871771847211805</v>
      </c>
      <c r="N76" s="48"/>
      <c r="O76" s="68"/>
      <c r="P76" s="67"/>
      <c r="Q76" s="68"/>
      <c r="R76" s="68"/>
      <c r="S76" s="45">
        <f t="shared" si="64"/>
        <v>1</v>
      </c>
      <c r="T76" s="45">
        <f t="shared" si="65"/>
        <v>1</v>
      </c>
      <c r="U76" s="48">
        <f t="shared" si="76"/>
        <v>1.0000000822403709E-9</v>
      </c>
      <c r="V76" s="48">
        <f t="shared" si="77"/>
        <v>1.0000000822403709E-9</v>
      </c>
      <c r="W76" s="45">
        <f t="shared" si="78"/>
        <v>1.0000001644807486E-18</v>
      </c>
      <c r="X76" s="45">
        <f t="shared" si="79"/>
        <v>1.0000001644807486E-18</v>
      </c>
      <c r="Y76" s="45">
        <f t="shared" si="80"/>
        <v>1.0000001644807486E-18</v>
      </c>
      <c r="Z76" s="45"/>
      <c r="AA76" s="45">
        <f t="shared" si="66"/>
        <v>1</v>
      </c>
      <c r="AB76" s="45">
        <f t="shared" si="81"/>
        <v>1</v>
      </c>
      <c r="AC76" s="45">
        <f t="shared" si="82"/>
        <v>1.0000000822403709E-9</v>
      </c>
      <c r="AD76" s="45">
        <f t="shared" si="83"/>
        <v>1.0000000822403709E-9</v>
      </c>
      <c r="AE76" s="45">
        <f t="shared" si="84"/>
        <v>1.0000001644807486E-18</v>
      </c>
      <c r="AF76" s="45">
        <f t="shared" si="85"/>
        <v>1.0000001644807486E-18</v>
      </c>
      <c r="AG76" s="45">
        <f t="shared" si="86"/>
        <v>1.0000001644807486E-18</v>
      </c>
      <c r="AH76" s="45"/>
      <c r="AI76" s="45">
        <f t="shared" si="87"/>
        <v>1</v>
      </c>
      <c r="AJ76" s="45">
        <f t="shared" si="88"/>
        <v>1</v>
      </c>
      <c r="AK76" s="45">
        <f t="shared" si="89"/>
        <v>1.0000000822403709E-9</v>
      </c>
      <c r="AL76" s="45">
        <f t="shared" si="90"/>
        <v>1.0000000822403709E-9</v>
      </c>
      <c r="AM76" s="45">
        <f t="shared" si="91"/>
        <v>1.0000001644807486E-18</v>
      </c>
      <c r="AN76" s="45">
        <f t="shared" si="92"/>
        <v>1.0000001644807486E-18</v>
      </c>
      <c r="AO76" s="45">
        <f t="shared" si="93"/>
        <v>1.0000001644807486E-18</v>
      </c>
      <c r="AP76" s="45"/>
      <c r="AQ76" s="45">
        <f t="shared" si="94"/>
        <v>1</v>
      </c>
      <c r="AR76" s="45">
        <f t="shared" si="95"/>
        <v>1</v>
      </c>
      <c r="AS76" s="45">
        <f t="shared" si="96"/>
        <v>1.0000000822403709E-9</v>
      </c>
      <c r="AT76" s="45">
        <f t="shared" si="97"/>
        <v>1.0000000822403709E-9</v>
      </c>
      <c r="AU76" s="45">
        <f t="shared" si="98"/>
        <v>1.0000001644807486E-18</v>
      </c>
      <c r="AV76" s="45">
        <f t="shared" si="99"/>
        <v>1.0000001644807486E-18</v>
      </c>
      <c r="AW76" s="45">
        <f t="shared" si="100"/>
        <v>1.0000001644807486E-18</v>
      </c>
      <c r="AX76" s="45"/>
      <c r="AY76" s="45"/>
      <c r="AZ76" s="45"/>
      <c r="BA76" s="45" t="str">
        <f t="shared" si="101"/>
        <v/>
      </c>
      <c r="BB76" s="45" t="str">
        <f t="shared" si="102"/>
        <v/>
      </c>
      <c r="BC76" s="45" t="str">
        <f t="shared" si="103"/>
        <v/>
      </c>
      <c r="BD76" s="45" t="str">
        <f t="shared" si="104"/>
        <v/>
      </c>
      <c r="BE76" s="45" t="str">
        <f t="shared" si="67"/>
        <v/>
      </c>
      <c r="BF76" s="45" t="str">
        <f t="shared" si="68"/>
        <v/>
      </c>
      <c r="BG76" s="45" t="str">
        <f t="shared" si="105"/>
        <v/>
      </c>
      <c r="BH76" s="45"/>
      <c r="BI76" s="45">
        <f t="shared" si="106"/>
        <v>-20000</v>
      </c>
      <c r="BJ76" s="45">
        <f t="shared" si="107"/>
        <v>0.10731709395383104</v>
      </c>
      <c r="BK76" s="45">
        <f t="shared" si="108"/>
        <v>0.12021860531546985</v>
      </c>
      <c r="BL76" s="45">
        <f t="shared" si="109"/>
        <v>-2.1184434825408114</v>
      </c>
      <c r="BM76" s="45">
        <f t="shared" si="69"/>
        <v>42368.869650816225</v>
      </c>
      <c r="BN76" s="45">
        <f t="shared" si="70"/>
        <v>400000000</v>
      </c>
      <c r="BO76" s="45">
        <f t="shared" si="110"/>
        <v>4.487802788719641</v>
      </c>
      <c r="BP76" s="45"/>
      <c r="BQ76" s="45"/>
      <c r="BR76" s="50" t="str">
        <f>IF(B41="","",F76)</f>
        <v/>
      </c>
      <c r="BS76" s="50" t="str">
        <f>IF(B41="","",BJ76)</f>
        <v/>
      </c>
      <c r="BT76" s="50" t="str">
        <f t="shared" si="111"/>
        <v/>
      </c>
      <c r="BU76" s="50" t="str">
        <f t="shared" si="112"/>
        <v/>
      </c>
      <c r="BV76" s="50" t="str">
        <f t="shared" si="71"/>
        <v/>
      </c>
      <c r="BW76" s="50" t="str">
        <f t="shared" si="72"/>
        <v/>
      </c>
      <c r="BX76" s="50" t="str">
        <f t="shared" si="113"/>
        <v/>
      </c>
      <c r="BY76" s="45"/>
      <c r="BZ76" s="72"/>
      <c r="CA76" s="72"/>
      <c r="CB76" s="72"/>
      <c r="CC76" s="72"/>
      <c r="CD76" s="72"/>
      <c r="CE76" s="72"/>
      <c r="CF76" s="72"/>
      <c r="CG76" s="72"/>
      <c r="CH76" s="72"/>
      <c r="CI76" s="72"/>
      <c r="CJ76" s="72"/>
      <c r="CK76" s="70"/>
      <c r="CL76" s="70"/>
    </row>
    <row r="77" spans="1:90" x14ac:dyDescent="0.3">
      <c r="A77" s="48">
        <f>'EINGABEN EINZELWERTE'!D14</f>
        <v>0</v>
      </c>
      <c r="B77" s="45" t="str">
        <f t="shared" si="52"/>
        <v/>
      </c>
      <c r="C77" s="48">
        <f>IF((B77=""),MAX(B9:B108),B77)</f>
        <v>20000</v>
      </c>
      <c r="D77" s="45">
        <f>SMALL(C9:C108,69)</f>
        <v>20000</v>
      </c>
      <c r="E77" s="45">
        <f>LARGE(C9:C108,69)</f>
        <v>20000</v>
      </c>
      <c r="F77" s="49">
        <f>IF(Q6=1,D77,-E77)</f>
        <v>-20000</v>
      </c>
      <c r="G77" s="49">
        <f t="shared" si="62"/>
        <v>0.11251763361691523</v>
      </c>
      <c r="H77" s="49">
        <f t="shared" si="73"/>
        <v>0.10731709395383104</v>
      </c>
      <c r="I77" s="45"/>
      <c r="J77" s="45">
        <f>IF(Q6=1,D77,D77)</f>
        <v>20000</v>
      </c>
      <c r="K77" s="45">
        <f t="shared" si="74"/>
        <v>0.88748236638308475</v>
      </c>
      <c r="L77" s="45">
        <f t="shared" si="75"/>
        <v>0.89268290604616896</v>
      </c>
      <c r="M77" s="45">
        <f t="shared" si="63"/>
        <v>0.69871771847211805</v>
      </c>
      <c r="N77" s="48"/>
      <c r="O77" s="68"/>
      <c r="P77" s="67"/>
      <c r="Q77" s="68"/>
      <c r="R77" s="68"/>
      <c r="S77" s="45">
        <f t="shared" si="64"/>
        <v>1</v>
      </c>
      <c r="T77" s="45">
        <f t="shared" si="65"/>
        <v>1</v>
      </c>
      <c r="U77" s="48">
        <f t="shared" si="76"/>
        <v>1.0000000822403709E-9</v>
      </c>
      <c r="V77" s="48">
        <f t="shared" si="77"/>
        <v>1.0000000822403709E-9</v>
      </c>
      <c r="W77" s="45">
        <f t="shared" si="78"/>
        <v>1.0000001644807486E-18</v>
      </c>
      <c r="X77" s="45">
        <f t="shared" si="79"/>
        <v>1.0000001644807486E-18</v>
      </c>
      <c r="Y77" s="45">
        <f t="shared" si="80"/>
        <v>1.0000001644807486E-18</v>
      </c>
      <c r="Z77" s="45"/>
      <c r="AA77" s="45">
        <f t="shared" si="66"/>
        <v>1</v>
      </c>
      <c r="AB77" s="45">
        <f t="shared" si="81"/>
        <v>1</v>
      </c>
      <c r="AC77" s="45">
        <f t="shared" si="82"/>
        <v>1.0000000822403709E-9</v>
      </c>
      <c r="AD77" s="45">
        <f t="shared" si="83"/>
        <v>1.0000000822403709E-9</v>
      </c>
      <c r="AE77" s="45">
        <f t="shared" si="84"/>
        <v>1.0000001644807486E-18</v>
      </c>
      <c r="AF77" s="45">
        <f t="shared" si="85"/>
        <v>1.0000001644807486E-18</v>
      </c>
      <c r="AG77" s="45">
        <f t="shared" si="86"/>
        <v>1.0000001644807486E-18</v>
      </c>
      <c r="AH77" s="45"/>
      <c r="AI77" s="45">
        <f t="shared" si="87"/>
        <v>1</v>
      </c>
      <c r="AJ77" s="45">
        <f t="shared" si="88"/>
        <v>1</v>
      </c>
      <c r="AK77" s="45">
        <f t="shared" si="89"/>
        <v>1.0000000822403709E-9</v>
      </c>
      <c r="AL77" s="45">
        <f t="shared" si="90"/>
        <v>1.0000000822403709E-9</v>
      </c>
      <c r="AM77" s="45">
        <f t="shared" si="91"/>
        <v>1.0000001644807486E-18</v>
      </c>
      <c r="AN77" s="45">
        <f t="shared" si="92"/>
        <v>1.0000001644807486E-18</v>
      </c>
      <c r="AO77" s="45">
        <f t="shared" si="93"/>
        <v>1.0000001644807486E-18</v>
      </c>
      <c r="AP77" s="45"/>
      <c r="AQ77" s="45">
        <f t="shared" si="94"/>
        <v>1</v>
      </c>
      <c r="AR77" s="45">
        <f t="shared" si="95"/>
        <v>1</v>
      </c>
      <c r="AS77" s="45">
        <f t="shared" si="96"/>
        <v>1.0000000822403709E-9</v>
      </c>
      <c r="AT77" s="45">
        <f t="shared" si="97"/>
        <v>1.0000000822403709E-9</v>
      </c>
      <c r="AU77" s="45">
        <f t="shared" si="98"/>
        <v>1.0000001644807486E-18</v>
      </c>
      <c r="AV77" s="45">
        <f t="shared" si="99"/>
        <v>1.0000001644807486E-18</v>
      </c>
      <c r="AW77" s="45">
        <f t="shared" si="100"/>
        <v>1.0000001644807486E-18</v>
      </c>
      <c r="AX77" s="45"/>
      <c r="AY77" s="45"/>
      <c r="AZ77" s="45"/>
      <c r="BA77" s="45" t="str">
        <f t="shared" si="101"/>
        <v/>
      </c>
      <c r="BB77" s="45" t="str">
        <f t="shared" si="102"/>
        <v/>
      </c>
      <c r="BC77" s="45" t="str">
        <f t="shared" si="103"/>
        <v/>
      </c>
      <c r="BD77" s="45" t="str">
        <f t="shared" si="104"/>
        <v/>
      </c>
      <c r="BE77" s="45" t="str">
        <f t="shared" si="67"/>
        <v/>
      </c>
      <c r="BF77" s="45" t="str">
        <f t="shared" si="68"/>
        <v/>
      </c>
      <c r="BG77" s="45" t="str">
        <f t="shared" si="105"/>
        <v/>
      </c>
      <c r="BH77" s="45"/>
      <c r="BI77" s="45">
        <f t="shared" si="106"/>
        <v>-20000</v>
      </c>
      <c r="BJ77" s="45">
        <f t="shared" si="107"/>
        <v>0.10731709395383104</v>
      </c>
      <c r="BK77" s="45">
        <f t="shared" si="108"/>
        <v>0.12021860531546985</v>
      </c>
      <c r="BL77" s="45">
        <f t="shared" si="109"/>
        <v>-2.1184434825408114</v>
      </c>
      <c r="BM77" s="45">
        <f t="shared" si="69"/>
        <v>42368.869650816225</v>
      </c>
      <c r="BN77" s="45">
        <f t="shared" si="70"/>
        <v>400000000</v>
      </c>
      <c r="BO77" s="45">
        <f t="shared" si="110"/>
        <v>4.487802788719641</v>
      </c>
      <c r="BP77" s="45"/>
      <c r="BQ77" s="45"/>
      <c r="BR77" s="50" t="str">
        <f>IF(B40="","",F77)</f>
        <v/>
      </c>
      <c r="BS77" s="50" t="str">
        <f>IF(B40="","",BJ77)</f>
        <v/>
      </c>
      <c r="BT77" s="50" t="str">
        <f t="shared" si="111"/>
        <v/>
      </c>
      <c r="BU77" s="50" t="str">
        <f t="shared" si="112"/>
        <v/>
      </c>
      <c r="BV77" s="50" t="str">
        <f t="shared" si="71"/>
        <v/>
      </c>
      <c r="BW77" s="50" t="str">
        <f t="shared" si="72"/>
        <v/>
      </c>
      <c r="BX77" s="50" t="str">
        <f t="shared" si="113"/>
        <v/>
      </c>
      <c r="BY77" s="45"/>
      <c r="BZ77" s="72"/>
      <c r="CA77" s="72"/>
      <c r="CB77" s="72"/>
      <c r="CC77" s="72"/>
      <c r="CD77" s="72"/>
      <c r="CE77" s="72"/>
      <c r="CF77" s="72"/>
      <c r="CG77" s="72"/>
      <c r="CH77" s="72"/>
      <c r="CI77" s="72"/>
      <c r="CJ77" s="72"/>
      <c r="CK77" s="70"/>
      <c r="CL77" s="70"/>
    </row>
    <row r="78" spans="1:90" x14ac:dyDescent="0.3">
      <c r="A78" s="48">
        <f>'EINGABEN EINZELWERTE'!D15</f>
        <v>0</v>
      </c>
      <c r="B78" s="45" t="str">
        <f t="shared" si="52"/>
        <v/>
      </c>
      <c r="C78" s="48">
        <f>IF((B78=""),MAX(B9:B108),B78)</f>
        <v>20000</v>
      </c>
      <c r="D78" s="45">
        <f>SMALL(C9:C108,70)</f>
        <v>20000</v>
      </c>
      <c r="E78" s="45">
        <f>LARGE(C9:C108,70)</f>
        <v>20000</v>
      </c>
      <c r="F78" s="49">
        <f>IF(Q6=1,D78,-E78)</f>
        <v>-20000</v>
      </c>
      <c r="G78" s="49">
        <f t="shared" si="62"/>
        <v>0.11251763361691523</v>
      </c>
      <c r="H78" s="49">
        <f t="shared" si="73"/>
        <v>0.10731709395383104</v>
      </c>
      <c r="I78" s="45"/>
      <c r="J78" s="45">
        <f>IF(Q6=1,D78,D78)</f>
        <v>20000</v>
      </c>
      <c r="K78" s="45">
        <f t="shared" si="74"/>
        <v>0.88748236638308475</v>
      </c>
      <c r="L78" s="45">
        <f t="shared" si="75"/>
        <v>0.89268290604616896</v>
      </c>
      <c r="M78" s="45">
        <f t="shared" si="63"/>
        <v>0.69871771847211805</v>
      </c>
      <c r="N78" s="48"/>
      <c r="O78" s="68"/>
      <c r="P78" s="67"/>
      <c r="Q78" s="68"/>
      <c r="R78" s="68"/>
      <c r="S78" s="45">
        <f t="shared" si="64"/>
        <v>1</v>
      </c>
      <c r="T78" s="45">
        <f t="shared" si="65"/>
        <v>1</v>
      </c>
      <c r="U78" s="48">
        <f t="shared" si="76"/>
        <v>1.0000000822403709E-9</v>
      </c>
      <c r="V78" s="48">
        <f t="shared" si="77"/>
        <v>1.0000000822403709E-9</v>
      </c>
      <c r="W78" s="45">
        <f t="shared" si="78"/>
        <v>1.0000001644807486E-18</v>
      </c>
      <c r="X78" s="45">
        <f t="shared" si="79"/>
        <v>1.0000001644807486E-18</v>
      </c>
      <c r="Y78" s="45">
        <f t="shared" si="80"/>
        <v>1.0000001644807486E-18</v>
      </c>
      <c r="Z78" s="45"/>
      <c r="AA78" s="45">
        <f t="shared" si="66"/>
        <v>1</v>
      </c>
      <c r="AB78" s="45">
        <f t="shared" si="81"/>
        <v>1</v>
      </c>
      <c r="AC78" s="45">
        <f t="shared" si="82"/>
        <v>1.0000000822403709E-9</v>
      </c>
      <c r="AD78" s="45">
        <f t="shared" si="83"/>
        <v>1.0000000822403709E-9</v>
      </c>
      <c r="AE78" s="45">
        <f t="shared" si="84"/>
        <v>1.0000001644807486E-18</v>
      </c>
      <c r="AF78" s="45">
        <f t="shared" si="85"/>
        <v>1.0000001644807486E-18</v>
      </c>
      <c r="AG78" s="45">
        <f t="shared" si="86"/>
        <v>1.0000001644807486E-18</v>
      </c>
      <c r="AH78" s="45"/>
      <c r="AI78" s="45">
        <f t="shared" si="87"/>
        <v>1</v>
      </c>
      <c r="AJ78" s="45">
        <f t="shared" si="88"/>
        <v>1</v>
      </c>
      <c r="AK78" s="45">
        <f t="shared" si="89"/>
        <v>1.0000000822403709E-9</v>
      </c>
      <c r="AL78" s="45">
        <f t="shared" si="90"/>
        <v>1.0000000822403709E-9</v>
      </c>
      <c r="AM78" s="45">
        <f t="shared" si="91"/>
        <v>1.0000001644807486E-18</v>
      </c>
      <c r="AN78" s="45">
        <f t="shared" si="92"/>
        <v>1.0000001644807486E-18</v>
      </c>
      <c r="AO78" s="45">
        <f t="shared" si="93"/>
        <v>1.0000001644807486E-18</v>
      </c>
      <c r="AP78" s="45"/>
      <c r="AQ78" s="45">
        <f t="shared" si="94"/>
        <v>1</v>
      </c>
      <c r="AR78" s="45">
        <f t="shared" si="95"/>
        <v>1</v>
      </c>
      <c r="AS78" s="45">
        <f t="shared" si="96"/>
        <v>1.0000000822403709E-9</v>
      </c>
      <c r="AT78" s="45">
        <f t="shared" si="97"/>
        <v>1.0000000822403709E-9</v>
      </c>
      <c r="AU78" s="45">
        <f t="shared" si="98"/>
        <v>1.0000001644807486E-18</v>
      </c>
      <c r="AV78" s="45">
        <f t="shared" si="99"/>
        <v>1.0000001644807486E-18</v>
      </c>
      <c r="AW78" s="45">
        <f t="shared" si="100"/>
        <v>1.0000001644807486E-18</v>
      </c>
      <c r="AX78" s="45"/>
      <c r="AY78" s="45"/>
      <c r="AZ78" s="45"/>
      <c r="BA78" s="45" t="str">
        <f t="shared" si="101"/>
        <v/>
      </c>
      <c r="BB78" s="45" t="str">
        <f t="shared" si="102"/>
        <v/>
      </c>
      <c r="BC78" s="45" t="str">
        <f t="shared" si="103"/>
        <v/>
      </c>
      <c r="BD78" s="45" t="str">
        <f t="shared" si="104"/>
        <v/>
      </c>
      <c r="BE78" s="45" t="str">
        <f t="shared" si="67"/>
        <v/>
      </c>
      <c r="BF78" s="45" t="str">
        <f t="shared" si="68"/>
        <v/>
      </c>
      <c r="BG78" s="45" t="str">
        <f t="shared" si="105"/>
        <v/>
      </c>
      <c r="BH78" s="45"/>
      <c r="BI78" s="45">
        <f t="shared" si="106"/>
        <v>-20000</v>
      </c>
      <c r="BJ78" s="45">
        <f t="shared" si="107"/>
        <v>0.10731709395383104</v>
      </c>
      <c r="BK78" s="45">
        <f t="shared" si="108"/>
        <v>0.12021860531546985</v>
      </c>
      <c r="BL78" s="45">
        <f t="shared" si="109"/>
        <v>-2.1184434825408114</v>
      </c>
      <c r="BM78" s="45">
        <f t="shared" si="69"/>
        <v>42368.869650816225</v>
      </c>
      <c r="BN78" s="45">
        <f t="shared" si="70"/>
        <v>400000000</v>
      </c>
      <c r="BO78" s="45">
        <f t="shared" si="110"/>
        <v>4.487802788719641</v>
      </c>
      <c r="BP78" s="45"/>
      <c r="BQ78" s="45"/>
      <c r="BR78" s="50" t="str">
        <f>IF(B39="","",F78)</f>
        <v/>
      </c>
      <c r="BS78" s="50" t="str">
        <f>IF(B39="","",BJ78)</f>
        <v/>
      </c>
      <c r="BT78" s="50" t="str">
        <f t="shared" si="111"/>
        <v/>
      </c>
      <c r="BU78" s="50" t="str">
        <f t="shared" si="112"/>
        <v/>
      </c>
      <c r="BV78" s="50" t="str">
        <f t="shared" si="71"/>
        <v/>
      </c>
      <c r="BW78" s="50" t="str">
        <f t="shared" si="72"/>
        <v/>
      </c>
      <c r="BX78" s="50" t="str">
        <f t="shared" si="113"/>
        <v/>
      </c>
      <c r="BY78" s="45"/>
      <c r="BZ78" s="72"/>
      <c r="CA78" s="72"/>
      <c r="CB78" s="72"/>
      <c r="CC78" s="72"/>
      <c r="CD78" s="72"/>
      <c r="CE78" s="72"/>
      <c r="CF78" s="72"/>
      <c r="CG78" s="72"/>
      <c r="CH78" s="72"/>
      <c r="CI78" s="72"/>
      <c r="CJ78" s="72"/>
      <c r="CK78" s="70"/>
      <c r="CL78" s="70"/>
    </row>
    <row r="79" spans="1:90" x14ac:dyDescent="0.3">
      <c r="A79" s="48">
        <f>'EINGABEN EINZELWERTE'!D16</f>
        <v>0</v>
      </c>
      <c r="B79" s="45" t="str">
        <f t="shared" si="52"/>
        <v/>
      </c>
      <c r="C79" s="48">
        <f>IF((B79=""),MAX(B9:B108),B79)</f>
        <v>20000</v>
      </c>
      <c r="D79" s="45">
        <f>SMALL(C9:C108,71)</f>
        <v>20000</v>
      </c>
      <c r="E79" s="45">
        <f>LARGE(C9:C108,71)</f>
        <v>20000</v>
      </c>
      <c r="F79" s="49">
        <f>IF(Q6=1,D79,-E79)</f>
        <v>-20000</v>
      </c>
      <c r="G79" s="49">
        <f t="shared" si="62"/>
        <v>0.11251763361691523</v>
      </c>
      <c r="H79" s="49">
        <f t="shared" si="73"/>
        <v>0.10731709395383104</v>
      </c>
      <c r="I79" s="45"/>
      <c r="J79" s="45">
        <f>IF(Q6=1,D79,D79)</f>
        <v>20000</v>
      </c>
      <c r="K79" s="45">
        <f t="shared" si="74"/>
        <v>0.88748236638308475</v>
      </c>
      <c r="L79" s="45">
        <f t="shared" si="75"/>
        <v>0.89268290604616896</v>
      </c>
      <c r="M79" s="45">
        <f t="shared" si="63"/>
        <v>0.69871771847211805</v>
      </c>
      <c r="N79" s="48"/>
      <c r="O79" s="68"/>
      <c r="P79" s="67"/>
      <c r="Q79" s="68"/>
      <c r="R79" s="68"/>
      <c r="S79" s="45">
        <f t="shared" si="64"/>
        <v>1</v>
      </c>
      <c r="T79" s="45">
        <f t="shared" si="65"/>
        <v>1</v>
      </c>
      <c r="U79" s="48">
        <f t="shared" si="76"/>
        <v>1.0000000822403709E-9</v>
      </c>
      <c r="V79" s="48">
        <f t="shared" si="77"/>
        <v>1.0000000822403709E-9</v>
      </c>
      <c r="W79" s="45">
        <f t="shared" si="78"/>
        <v>1.0000001644807486E-18</v>
      </c>
      <c r="X79" s="45">
        <f t="shared" si="79"/>
        <v>1.0000001644807486E-18</v>
      </c>
      <c r="Y79" s="45">
        <f t="shared" si="80"/>
        <v>1.0000001644807486E-18</v>
      </c>
      <c r="Z79" s="45"/>
      <c r="AA79" s="45">
        <f t="shared" si="66"/>
        <v>1</v>
      </c>
      <c r="AB79" s="45">
        <f t="shared" si="81"/>
        <v>1</v>
      </c>
      <c r="AC79" s="45">
        <f t="shared" si="82"/>
        <v>1.0000000822403709E-9</v>
      </c>
      <c r="AD79" s="45">
        <f t="shared" si="83"/>
        <v>1.0000000822403709E-9</v>
      </c>
      <c r="AE79" s="45">
        <f t="shared" si="84"/>
        <v>1.0000001644807486E-18</v>
      </c>
      <c r="AF79" s="45">
        <f t="shared" si="85"/>
        <v>1.0000001644807486E-18</v>
      </c>
      <c r="AG79" s="45">
        <f t="shared" si="86"/>
        <v>1.0000001644807486E-18</v>
      </c>
      <c r="AH79" s="45"/>
      <c r="AI79" s="45">
        <f t="shared" si="87"/>
        <v>1</v>
      </c>
      <c r="AJ79" s="45">
        <f t="shared" si="88"/>
        <v>1</v>
      </c>
      <c r="AK79" s="45">
        <f t="shared" si="89"/>
        <v>1.0000000822403709E-9</v>
      </c>
      <c r="AL79" s="45">
        <f t="shared" si="90"/>
        <v>1.0000000822403709E-9</v>
      </c>
      <c r="AM79" s="45">
        <f t="shared" si="91"/>
        <v>1.0000001644807486E-18</v>
      </c>
      <c r="AN79" s="45">
        <f t="shared" si="92"/>
        <v>1.0000001644807486E-18</v>
      </c>
      <c r="AO79" s="45">
        <f t="shared" si="93"/>
        <v>1.0000001644807486E-18</v>
      </c>
      <c r="AP79" s="45"/>
      <c r="AQ79" s="45">
        <f t="shared" si="94"/>
        <v>1</v>
      </c>
      <c r="AR79" s="45">
        <f t="shared" si="95"/>
        <v>1</v>
      </c>
      <c r="AS79" s="45">
        <f t="shared" si="96"/>
        <v>1.0000000822403709E-9</v>
      </c>
      <c r="AT79" s="45">
        <f t="shared" si="97"/>
        <v>1.0000000822403709E-9</v>
      </c>
      <c r="AU79" s="45">
        <f t="shared" si="98"/>
        <v>1.0000001644807486E-18</v>
      </c>
      <c r="AV79" s="45">
        <f t="shared" si="99"/>
        <v>1.0000001644807486E-18</v>
      </c>
      <c r="AW79" s="45">
        <f t="shared" si="100"/>
        <v>1.0000001644807486E-18</v>
      </c>
      <c r="AX79" s="45"/>
      <c r="AY79" s="45"/>
      <c r="AZ79" s="45"/>
      <c r="BA79" s="45" t="str">
        <f t="shared" si="101"/>
        <v/>
      </c>
      <c r="BB79" s="45" t="str">
        <f t="shared" si="102"/>
        <v/>
      </c>
      <c r="BC79" s="45" t="str">
        <f t="shared" si="103"/>
        <v/>
      </c>
      <c r="BD79" s="45" t="str">
        <f t="shared" si="104"/>
        <v/>
      </c>
      <c r="BE79" s="45" t="str">
        <f t="shared" si="67"/>
        <v/>
      </c>
      <c r="BF79" s="45" t="str">
        <f t="shared" si="68"/>
        <v/>
      </c>
      <c r="BG79" s="45" t="str">
        <f t="shared" si="105"/>
        <v/>
      </c>
      <c r="BH79" s="45"/>
      <c r="BI79" s="45">
        <f t="shared" si="106"/>
        <v>-20000</v>
      </c>
      <c r="BJ79" s="45">
        <f t="shared" si="107"/>
        <v>0.10731709395383104</v>
      </c>
      <c r="BK79" s="45">
        <f t="shared" si="108"/>
        <v>0.12021860531546985</v>
      </c>
      <c r="BL79" s="45">
        <f t="shared" si="109"/>
        <v>-2.1184434825408114</v>
      </c>
      <c r="BM79" s="45">
        <f t="shared" si="69"/>
        <v>42368.869650816225</v>
      </c>
      <c r="BN79" s="45">
        <f t="shared" si="70"/>
        <v>400000000</v>
      </c>
      <c r="BO79" s="45">
        <f t="shared" si="110"/>
        <v>4.487802788719641</v>
      </c>
      <c r="BP79" s="45"/>
      <c r="BQ79" s="45"/>
      <c r="BR79" s="50" t="str">
        <f>IF(B38="","",F79)</f>
        <v/>
      </c>
      <c r="BS79" s="50" t="str">
        <f>IF(B38="","",BJ79)</f>
        <v/>
      </c>
      <c r="BT79" s="50" t="str">
        <f t="shared" si="111"/>
        <v/>
      </c>
      <c r="BU79" s="50" t="str">
        <f t="shared" si="112"/>
        <v/>
      </c>
      <c r="BV79" s="50" t="str">
        <f t="shared" si="71"/>
        <v/>
      </c>
      <c r="BW79" s="50" t="str">
        <f t="shared" si="72"/>
        <v/>
      </c>
      <c r="BX79" s="50" t="str">
        <f t="shared" si="113"/>
        <v/>
      </c>
      <c r="BY79" s="45"/>
      <c r="BZ79" s="72"/>
      <c r="CA79" s="72"/>
      <c r="CB79" s="72"/>
      <c r="CC79" s="72"/>
      <c r="CD79" s="72"/>
      <c r="CE79" s="72"/>
      <c r="CF79" s="72"/>
      <c r="CG79" s="72"/>
      <c r="CH79" s="72"/>
      <c r="CI79" s="72"/>
      <c r="CJ79" s="72"/>
      <c r="CK79" s="70"/>
      <c r="CL79" s="70"/>
    </row>
    <row r="80" spans="1:90" x14ac:dyDescent="0.3">
      <c r="A80" s="48">
        <f>'EINGABEN EINZELWERTE'!D17</f>
        <v>0</v>
      </c>
      <c r="B80" s="45" t="str">
        <f t="shared" ref="B80:B108" si="114">IF(A80=0,"",A80)</f>
        <v/>
      </c>
      <c r="C80" s="48">
        <f>IF((B80=""),MAX(B9:B108),B80)</f>
        <v>20000</v>
      </c>
      <c r="D80" s="45">
        <f>SMALL(C9:C108,72)</f>
        <v>20000</v>
      </c>
      <c r="E80" s="45">
        <f>LARGE(C9:C108,72)</f>
        <v>20000</v>
      </c>
      <c r="F80" s="49">
        <f>IF(Q6=1,D80,-E80)</f>
        <v>-20000</v>
      </c>
      <c r="G80" s="49">
        <f t="shared" si="62"/>
        <v>0.11251763361691523</v>
      </c>
      <c r="H80" s="49">
        <f t="shared" si="73"/>
        <v>0.10731709395383104</v>
      </c>
      <c r="I80" s="45"/>
      <c r="J80" s="45">
        <f>IF(Q6=1,D80,D80)</f>
        <v>20000</v>
      </c>
      <c r="K80" s="45">
        <f t="shared" si="74"/>
        <v>0.88748236638308475</v>
      </c>
      <c r="L80" s="45">
        <f t="shared" si="75"/>
        <v>0.89268290604616896</v>
      </c>
      <c r="M80" s="45">
        <f t="shared" si="63"/>
        <v>0.69871771847211805</v>
      </c>
      <c r="N80" s="48"/>
      <c r="O80" s="68"/>
      <c r="P80" s="67"/>
      <c r="Q80" s="68"/>
      <c r="R80" s="68"/>
      <c r="S80" s="45">
        <f t="shared" si="64"/>
        <v>1</v>
      </c>
      <c r="T80" s="45">
        <f t="shared" si="65"/>
        <v>1</v>
      </c>
      <c r="U80" s="48">
        <f t="shared" si="76"/>
        <v>1.0000000822403709E-9</v>
      </c>
      <c r="V80" s="48">
        <f t="shared" si="77"/>
        <v>1.0000000822403709E-9</v>
      </c>
      <c r="W80" s="45">
        <f t="shared" si="78"/>
        <v>1.0000001644807486E-18</v>
      </c>
      <c r="X80" s="45">
        <f t="shared" si="79"/>
        <v>1.0000001644807486E-18</v>
      </c>
      <c r="Y80" s="45">
        <f t="shared" si="80"/>
        <v>1.0000001644807486E-18</v>
      </c>
      <c r="Z80" s="45"/>
      <c r="AA80" s="45">
        <f t="shared" si="66"/>
        <v>1</v>
      </c>
      <c r="AB80" s="45">
        <f t="shared" si="81"/>
        <v>1</v>
      </c>
      <c r="AC80" s="45">
        <f t="shared" si="82"/>
        <v>1.0000000822403709E-9</v>
      </c>
      <c r="AD80" s="45">
        <f t="shared" si="83"/>
        <v>1.0000000822403709E-9</v>
      </c>
      <c r="AE80" s="45">
        <f t="shared" si="84"/>
        <v>1.0000001644807486E-18</v>
      </c>
      <c r="AF80" s="45">
        <f t="shared" si="85"/>
        <v>1.0000001644807486E-18</v>
      </c>
      <c r="AG80" s="45">
        <f t="shared" si="86"/>
        <v>1.0000001644807486E-18</v>
      </c>
      <c r="AH80" s="45"/>
      <c r="AI80" s="45">
        <f t="shared" si="87"/>
        <v>1</v>
      </c>
      <c r="AJ80" s="45">
        <f t="shared" si="88"/>
        <v>1</v>
      </c>
      <c r="AK80" s="45">
        <f t="shared" si="89"/>
        <v>1.0000000822403709E-9</v>
      </c>
      <c r="AL80" s="45">
        <f t="shared" si="90"/>
        <v>1.0000000822403709E-9</v>
      </c>
      <c r="AM80" s="45">
        <f t="shared" si="91"/>
        <v>1.0000001644807486E-18</v>
      </c>
      <c r="AN80" s="45">
        <f t="shared" si="92"/>
        <v>1.0000001644807486E-18</v>
      </c>
      <c r="AO80" s="45">
        <f t="shared" si="93"/>
        <v>1.0000001644807486E-18</v>
      </c>
      <c r="AP80" s="45"/>
      <c r="AQ80" s="45">
        <f t="shared" si="94"/>
        <v>1</v>
      </c>
      <c r="AR80" s="45">
        <f t="shared" si="95"/>
        <v>1</v>
      </c>
      <c r="AS80" s="45">
        <f t="shared" si="96"/>
        <v>1.0000000822403709E-9</v>
      </c>
      <c r="AT80" s="45">
        <f t="shared" si="97"/>
        <v>1.0000000822403709E-9</v>
      </c>
      <c r="AU80" s="45">
        <f t="shared" si="98"/>
        <v>1.0000001644807486E-18</v>
      </c>
      <c r="AV80" s="45">
        <f t="shared" si="99"/>
        <v>1.0000001644807486E-18</v>
      </c>
      <c r="AW80" s="45">
        <f t="shared" si="100"/>
        <v>1.0000001644807486E-18</v>
      </c>
      <c r="AX80" s="45"/>
      <c r="AY80" s="45"/>
      <c r="AZ80" s="45"/>
      <c r="BA80" s="45" t="str">
        <f t="shared" si="101"/>
        <v/>
      </c>
      <c r="BB80" s="45" t="str">
        <f t="shared" si="102"/>
        <v/>
      </c>
      <c r="BC80" s="45" t="str">
        <f t="shared" si="103"/>
        <v/>
      </c>
      <c r="BD80" s="45" t="str">
        <f t="shared" si="104"/>
        <v/>
      </c>
      <c r="BE80" s="45" t="str">
        <f t="shared" si="67"/>
        <v/>
      </c>
      <c r="BF80" s="45" t="str">
        <f t="shared" si="68"/>
        <v/>
      </c>
      <c r="BG80" s="45" t="str">
        <f t="shared" si="105"/>
        <v/>
      </c>
      <c r="BH80" s="45"/>
      <c r="BI80" s="45">
        <f t="shared" si="106"/>
        <v>-20000</v>
      </c>
      <c r="BJ80" s="45">
        <f t="shared" si="107"/>
        <v>0.10731709395383104</v>
      </c>
      <c r="BK80" s="45">
        <f t="shared" si="108"/>
        <v>0.12021860531546985</v>
      </c>
      <c r="BL80" s="45">
        <f t="shared" si="109"/>
        <v>-2.1184434825408114</v>
      </c>
      <c r="BM80" s="45">
        <f t="shared" si="69"/>
        <v>42368.869650816225</v>
      </c>
      <c r="BN80" s="45">
        <f t="shared" si="70"/>
        <v>400000000</v>
      </c>
      <c r="BO80" s="45">
        <f t="shared" si="110"/>
        <v>4.487802788719641</v>
      </c>
      <c r="BP80" s="45"/>
      <c r="BQ80" s="45"/>
      <c r="BR80" s="50" t="str">
        <f>IF(B37="","",F80)</f>
        <v/>
      </c>
      <c r="BS80" s="50" t="str">
        <f>IF(B37="","",BJ80)</f>
        <v/>
      </c>
      <c r="BT80" s="50" t="str">
        <f t="shared" si="111"/>
        <v/>
      </c>
      <c r="BU80" s="50" t="str">
        <f t="shared" si="112"/>
        <v/>
      </c>
      <c r="BV80" s="50" t="str">
        <f t="shared" si="71"/>
        <v/>
      </c>
      <c r="BW80" s="50" t="str">
        <f t="shared" si="72"/>
        <v/>
      </c>
      <c r="BX80" s="50" t="str">
        <f t="shared" si="113"/>
        <v/>
      </c>
      <c r="BY80" s="45"/>
      <c r="BZ80" s="72"/>
      <c r="CA80" s="72"/>
      <c r="CB80" s="72"/>
      <c r="CC80" s="72"/>
      <c r="CD80" s="72"/>
      <c r="CE80" s="72"/>
      <c r="CF80" s="72"/>
      <c r="CG80" s="72"/>
      <c r="CH80" s="72"/>
      <c r="CI80" s="72"/>
      <c r="CJ80" s="72"/>
      <c r="CK80" s="70"/>
      <c r="CL80" s="70"/>
    </row>
    <row r="81" spans="1:90" x14ac:dyDescent="0.3">
      <c r="A81" s="48">
        <f>'EINGABEN EINZELWERTE'!D18</f>
        <v>0</v>
      </c>
      <c r="B81" s="45" t="str">
        <f t="shared" si="114"/>
        <v/>
      </c>
      <c r="C81" s="48">
        <f>IF((B81=""),MAX(B9:B108),B81)</f>
        <v>20000</v>
      </c>
      <c r="D81" s="45">
        <f>SMALL(C9:C108,73)</f>
        <v>20000</v>
      </c>
      <c r="E81" s="45">
        <f>LARGE(C9:C108,73)</f>
        <v>20000</v>
      </c>
      <c r="F81" s="49">
        <f>IF(Q6=1,D81,-E81)</f>
        <v>-20000</v>
      </c>
      <c r="G81" s="49">
        <f t="shared" si="62"/>
        <v>0.11251763361691523</v>
      </c>
      <c r="H81" s="49">
        <f t="shared" si="73"/>
        <v>0.10731709395383104</v>
      </c>
      <c r="I81" s="45"/>
      <c r="J81" s="45">
        <f>IF(Q6=1,D81,D81)</f>
        <v>20000</v>
      </c>
      <c r="K81" s="45">
        <f t="shared" si="74"/>
        <v>0.88748236638308475</v>
      </c>
      <c r="L81" s="45">
        <f t="shared" si="75"/>
        <v>0.89268290604616896</v>
      </c>
      <c r="M81" s="45">
        <f t="shared" si="63"/>
        <v>0.69871771847211805</v>
      </c>
      <c r="N81" s="48"/>
      <c r="O81" s="68"/>
      <c r="P81" s="67"/>
      <c r="Q81" s="68"/>
      <c r="R81" s="68"/>
      <c r="S81" s="45">
        <f t="shared" si="64"/>
        <v>1</v>
      </c>
      <c r="T81" s="45">
        <f t="shared" si="65"/>
        <v>1</v>
      </c>
      <c r="U81" s="48">
        <f t="shared" si="76"/>
        <v>1.0000000822403709E-9</v>
      </c>
      <c r="V81" s="48">
        <f t="shared" si="77"/>
        <v>1.0000000822403709E-9</v>
      </c>
      <c r="W81" s="45">
        <f t="shared" si="78"/>
        <v>1.0000001644807486E-18</v>
      </c>
      <c r="X81" s="45">
        <f t="shared" si="79"/>
        <v>1.0000001644807486E-18</v>
      </c>
      <c r="Y81" s="45">
        <f t="shared" si="80"/>
        <v>1.0000001644807486E-18</v>
      </c>
      <c r="Z81" s="45"/>
      <c r="AA81" s="45">
        <f t="shared" si="66"/>
        <v>1</v>
      </c>
      <c r="AB81" s="45">
        <f t="shared" si="81"/>
        <v>1</v>
      </c>
      <c r="AC81" s="45">
        <f t="shared" si="82"/>
        <v>1.0000000822403709E-9</v>
      </c>
      <c r="AD81" s="45">
        <f t="shared" si="83"/>
        <v>1.0000000822403709E-9</v>
      </c>
      <c r="AE81" s="45">
        <f t="shared" si="84"/>
        <v>1.0000001644807486E-18</v>
      </c>
      <c r="AF81" s="45">
        <f t="shared" si="85"/>
        <v>1.0000001644807486E-18</v>
      </c>
      <c r="AG81" s="45">
        <f t="shared" si="86"/>
        <v>1.0000001644807486E-18</v>
      </c>
      <c r="AH81" s="45"/>
      <c r="AI81" s="45">
        <f t="shared" si="87"/>
        <v>1</v>
      </c>
      <c r="AJ81" s="45">
        <f t="shared" si="88"/>
        <v>1</v>
      </c>
      <c r="AK81" s="45">
        <f t="shared" si="89"/>
        <v>1.0000000822403709E-9</v>
      </c>
      <c r="AL81" s="45">
        <f t="shared" si="90"/>
        <v>1.0000000822403709E-9</v>
      </c>
      <c r="AM81" s="45">
        <f t="shared" si="91"/>
        <v>1.0000001644807486E-18</v>
      </c>
      <c r="AN81" s="45">
        <f t="shared" si="92"/>
        <v>1.0000001644807486E-18</v>
      </c>
      <c r="AO81" s="45">
        <f t="shared" si="93"/>
        <v>1.0000001644807486E-18</v>
      </c>
      <c r="AP81" s="45"/>
      <c r="AQ81" s="45">
        <f t="shared" si="94"/>
        <v>1</v>
      </c>
      <c r="AR81" s="45">
        <f t="shared" si="95"/>
        <v>1</v>
      </c>
      <c r="AS81" s="45">
        <f t="shared" si="96"/>
        <v>1.0000000822403709E-9</v>
      </c>
      <c r="AT81" s="45">
        <f t="shared" si="97"/>
        <v>1.0000000822403709E-9</v>
      </c>
      <c r="AU81" s="45">
        <f t="shared" si="98"/>
        <v>1.0000001644807486E-18</v>
      </c>
      <c r="AV81" s="45">
        <f t="shared" si="99"/>
        <v>1.0000001644807486E-18</v>
      </c>
      <c r="AW81" s="45">
        <f t="shared" si="100"/>
        <v>1.0000001644807486E-18</v>
      </c>
      <c r="AX81" s="45"/>
      <c r="AY81" s="45"/>
      <c r="AZ81" s="45"/>
      <c r="BA81" s="45" t="str">
        <f t="shared" si="101"/>
        <v/>
      </c>
      <c r="BB81" s="45" t="str">
        <f t="shared" si="102"/>
        <v/>
      </c>
      <c r="BC81" s="45" t="str">
        <f t="shared" si="103"/>
        <v/>
      </c>
      <c r="BD81" s="45" t="str">
        <f t="shared" si="104"/>
        <v/>
      </c>
      <c r="BE81" s="45" t="str">
        <f t="shared" si="67"/>
        <v/>
      </c>
      <c r="BF81" s="45" t="str">
        <f t="shared" si="68"/>
        <v/>
      </c>
      <c r="BG81" s="45" t="str">
        <f t="shared" si="105"/>
        <v/>
      </c>
      <c r="BH81" s="45"/>
      <c r="BI81" s="45">
        <f t="shared" si="106"/>
        <v>-20000</v>
      </c>
      <c r="BJ81" s="45">
        <f t="shared" si="107"/>
        <v>0.10731709395383104</v>
      </c>
      <c r="BK81" s="45">
        <f t="shared" si="108"/>
        <v>0.12021860531546985</v>
      </c>
      <c r="BL81" s="45">
        <f t="shared" si="109"/>
        <v>-2.1184434825408114</v>
      </c>
      <c r="BM81" s="45">
        <f t="shared" si="69"/>
        <v>42368.869650816225</v>
      </c>
      <c r="BN81" s="45">
        <f t="shared" si="70"/>
        <v>400000000</v>
      </c>
      <c r="BO81" s="45">
        <f t="shared" si="110"/>
        <v>4.487802788719641</v>
      </c>
      <c r="BP81" s="45"/>
      <c r="BQ81" s="45"/>
      <c r="BR81" s="50" t="str">
        <f>IF(B36="","",F81)</f>
        <v/>
      </c>
      <c r="BS81" s="50" t="str">
        <f>IF(B36="","",BJ81)</f>
        <v/>
      </c>
      <c r="BT81" s="50" t="str">
        <f t="shared" si="111"/>
        <v/>
      </c>
      <c r="BU81" s="50" t="str">
        <f t="shared" si="112"/>
        <v/>
      </c>
      <c r="BV81" s="50" t="str">
        <f t="shared" si="71"/>
        <v/>
      </c>
      <c r="BW81" s="50" t="str">
        <f t="shared" si="72"/>
        <v/>
      </c>
      <c r="BX81" s="50" t="str">
        <f t="shared" si="113"/>
        <v/>
      </c>
      <c r="BY81" s="45"/>
      <c r="BZ81" s="72"/>
      <c r="CA81" s="72"/>
      <c r="CB81" s="72"/>
      <c r="CC81" s="72"/>
      <c r="CD81" s="72"/>
      <c r="CE81" s="72"/>
      <c r="CF81" s="72"/>
      <c r="CG81" s="72"/>
      <c r="CH81" s="72"/>
      <c r="CI81" s="72"/>
      <c r="CJ81" s="72"/>
      <c r="CK81" s="70"/>
      <c r="CL81" s="70"/>
    </row>
    <row r="82" spans="1:90" x14ac:dyDescent="0.3">
      <c r="A82" s="48">
        <f>'EINGABEN EINZELWERTE'!D19</f>
        <v>0</v>
      </c>
      <c r="B82" s="45" t="str">
        <f t="shared" si="114"/>
        <v/>
      </c>
      <c r="C82" s="48">
        <f>IF((B82=""),MAX(B9:B108),B82)</f>
        <v>20000</v>
      </c>
      <c r="D82" s="45">
        <f>SMALL(C9:C108,74)</f>
        <v>20000</v>
      </c>
      <c r="E82" s="45">
        <f>LARGE(C9:C108,74)</f>
        <v>20000</v>
      </c>
      <c r="F82" s="49">
        <f>IF(Q6=1,D82,-E82)</f>
        <v>-20000</v>
      </c>
      <c r="G82" s="49">
        <f t="shared" si="62"/>
        <v>0.11251763361691523</v>
      </c>
      <c r="H82" s="49">
        <f t="shared" si="73"/>
        <v>0.10731709395383104</v>
      </c>
      <c r="I82" s="45"/>
      <c r="J82" s="45">
        <f>IF(Q6=1,D82,D82)</f>
        <v>20000</v>
      </c>
      <c r="K82" s="45">
        <f t="shared" si="74"/>
        <v>0.88748236638308475</v>
      </c>
      <c r="L82" s="45">
        <f t="shared" si="75"/>
        <v>0.89268290604616896</v>
      </c>
      <c r="M82" s="45">
        <f t="shared" si="63"/>
        <v>0.69871771847211805</v>
      </c>
      <c r="N82" s="48"/>
      <c r="O82" s="68"/>
      <c r="P82" s="67"/>
      <c r="Q82" s="68"/>
      <c r="R82" s="68"/>
      <c r="S82" s="45">
        <f t="shared" si="64"/>
        <v>1</v>
      </c>
      <c r="T82" s="45">
        <f t="shared" si="65"/>
        <v>1</v>
      </c>
      <c r="U82" s="48">
        <f t="shared" si="76"/>
        <v>1.0000000822403709E-9</v>
      </c>
      <c r="V82" s="48">
        <f t="shared" si="77"/>
        <v>1.0000000822403709E-9</v>
      </c>
      <c r="W82" s="45">
        <f t="shared" si="78"/>
        <v>1.0000001644807486E-18</v>
      </c>
      <c r="X82" s="45">
        <f t="shared" si="79"/>
        <v>1.0000001644807486E-18</v>
      </c>
      <c r="Y82" s="45">
        <f t="shared" si="80"/>
        <v>1.0000001644807486E-18</v>
      </c>
      <c r="Z82" s="45"/>
      <c r="AA82" s="45">
        <f t="shared" si="66"/>
        <v>1</v>
      </c>
      <c r="AB82" s="45">
        <f t="shared" si="81"/>
        <v>1</v>
      </c>
      <c r="AC82" s="45">
        <f t="shared" si="82"/>
        <v>1.0000000822403709E-9</v>
      </c>
      <c r="AD82" s="45">
        <f t="shared" si="83"/>
        <v>1.0000000822403709E-9</v>
      </c>
      <c r="AE82" s="45">
        <f t="shared" si="84"/>
        <v>1.0000001644807486E-18</v>
      </c>
      <c r="AF82" s="45">
        <f t="shared" si="85"/>
        <v>1.0000001644807486E-18</v>
      </c>
      <c r="AG82" s="45">
        <f t="shared" si="86"/>
        <v>1.0000001644807486E-18</v>
      </c>
      <c r="AH82" s="45"/>
      <c r="AI82" s="45">
        <f t="shared" si="87"/>
        <v>1</v>
      </c>
      <c r="AJ82" s="45">
        <f t="shared" si="88"/>
        <v>1</v>
      </c>
      <c r="AK82" s="45">
        <f t="shared" si="89"/>
        <v>1.0000000822403709E-9</v>
      </c>
      <c r="AL82" s="45">
        <f t="shared" si="90"/>
        <v>1.0000000822403709E-9</v>
      </c>
      <c r="AM82" s="45">
        <f t="shared" si="91"/>
        <v>1.0000001644807486E-18</v>
      </c>
      <c r="AN82" s="45">
        <f t="shared" si="92"/>
        <v>1.0000001644807486E-18</v>
      </c>
      <c r="AO82" s="45">
        <f t="shared" si="93"/>
        <v>1.0000001644807486E-18</v>
      </c>
      <c r="AP82" s="45"/>
      <c r="AQ82" s="45">
        <f t="shared" si="94"/>
        <v>1</v>
      </c>
      <c r="AR82" s="45">
        <f t="shared" si="95"/>
        <v>1</v>
      </c>
      <c r="AS82" s="45">
        <f t="shared" si="96"/>
        <v>1.0000000822403709E-9</v>
      </c>
      <c r="AT82" s="45">
        <f t="shared" si="97"/>
        <v>1.0000000822403709E-9</v>
      </c>
      <c r="AU82" s="45">
        <f t="shared" si="98"/>
        <v>1.0000001644807486E-18</v>
      </c>
      <c r="AV82" s="45">
        <f t="shared" si="99"/>
        <v>1.0000001644807486E-18</v>
      </c>
      <c r="AW82" s="45">
        <f t="shared" si="100"/>
        <v>1.0000001644807486E-18</v>
      </c>
      <c r="AX82" s="45"/>
      <c r="AY82" s="45"/>
      <c r="AZ82" s="45"/>
      <c r="BA82" s="45" t="str">
        <f t="shared" si="101"/>
        <v/>
      </c>
      <c r="BB82" s="45" t="str">
        <f t="shared" si="102"/>
        <v/>
      </c>
      <c r="BC82" s="45" t="str">
        <f t="shared" si="103"/>
        <v/>
      </c>
      <c r="BD82" s="45" t="str">
        <f t="shared" si="104"/>
        <v/>
      </c>
      <c r="BE82" s="45" t="str">
        <f t="shared" si="67"/>
        <v/>
      </c>
      <c r="BF82" s="45" t="str">
        <f t="shared" si="68"/>
        <v/>
      </c>
      <c r="BG82" s="45" t="str">
        <f t="shared" si="105"/>
        <v/>
      </c>
      <c r="BH82" s="45"/>
      <c r="BI82" s="45">
        <f t="shared" si="106"/>
        <v>-20000</v>
      </c>
      <c r="BJ82" s="45">
        <f t="shared" si="107"/>
        <v>0.10731709395383104</v>
      </c>
      <c r="BK82" s="45">
        <f t="shared" si="108"/>
        <v>0.12021860531546985</v>
      </c>
      <c r="BL82" s="45">
        <f t="shared" si="109"/>
        <v>-2.1184434825408114</v>
      </c>
      <c r="BM82" s="45">
        <f t="shared" si="69"/>
        <v>42368.869650816225</v>
      </c>
      <c r="BN82" s="45">
        <f t="shared" si="70"/>
        <v>400000000</v>
      </c>
      <c r="BO82" s="45">
        <f t="shared" si="110"/>
        <v>4.487802788719641</v>
      </c>
      <c r="BP82" s="45"/>
      <c r="BQ82" s="45"/>
      <c r="BR82" s="50" t="str">
        <f>IF(B35="","",F82)</f>
        <v/>
      </c>
      <c r="BS82" s="50" t="str">
        <f>IF(B35="","",BJ82)</f>
        <v/>
      </c>
      <c r="BT82" s="50" t="str">
        <f t="shared" si="111"/>
        <v/>
      </c>
      <c r="BU82" s="50" t="str">
        <f t="shared" si="112"/>
        <v/>
      </c>
      <c r="BV82" s="50" t="str">
        <f t="shared" si="71"/>
        <v/>
      </c>
      <c r="BW82" s="50" t="str">
        <f t="shared" si="72"/>
        <v/>
      </c>
      <c r="BX82" s="50" t="str">
        <f t="shared" si="113"/>
        <v/>
      </c>
      <c r="BY82" s="45"/>
      <c r="BZ82" s="72"/>
      <c r="CA82" s="72"/>
      <c r="CB82" s="72"/>
      <c r="CC82" s="72"/>
      <c r="CD82" s="72"/>
      <c r="CE82" s="72"/>
      <c r="CF82" s="72"/>
      <c r="CG82" s="72"/>
      <c r="CH82" s="72"/>
      <c r="CI82" s="72"/>
      <c r="CJ82" s="72"/>
      <c r="CK82" s="70"/>
      <c r="CL82" s="70"/>
    </row>
    <row r="83" spans="1:90" x14ac:dyDescent="0.3">
      <c r="A83" s="48">
        <f>'EINGABEN EINZELWERTE'!D20</f>
        <v>0</v>
      </c>
      <c r="B83" s="45" t="str">
        <f t="shared" si="114"/>
        <v/>
      </c>
      <c r="C83" s="48">
        <f>IF((B83=""),MAX(B9:B108),B83)</f>
        <v>20000</v>
      </c>
      <c r="D83" s="45">
        <f>SMALL(C9:C108,75)</f>
        <v>20000</v>
      </c>
      <c r="E83" s="45">
        <f>LARGE(C9:C108,75)</f>
        <v>20000</v>
      </c>
      <c r="F83" s="49">
        <f>IF(Q6=1,D83,-E83)</f>
        <v>-20000</v>
      </c>
      <c r="G83" s="49">
        <f t="shared" si="62"/>
        <v>0.11251763361691523</v>
      </c>
      <c r="H83" s="49">
        <f t="shared" si="73"/>
        <v>0.10731709395383104</v>
      </c>
      <c r="I83" s="45"/>
      <c r="J83" s="45">
        <f>IF(Q6=1,D83,D83)</f>
        <v>20000</v>
      </c>
      <c r="K83" s="45">
        <f t="shared" si="74"/>
        <v>0.88748236638308475</v>
      </c>
      <c r="L83" s="45">
        <f t="shared" si="75"/>
        <v>0.89268290604616896</v>
      </c>
      <c r="M83" s="45">
        <f t="shared" si="63"/>
        <v>0.69871771847211805</v>
      </c>
      <c r="N83" s="48"/>
      <c r="O83" s="68"/>
      <c r="P83" s="67"/>
      <c r="Q83" s="68"/>
      <c r="R83" s="68"/>
      <c r="S83" s="45">
        <f t="shared" si="64"/>
        <v>1</v>
      </c>
      <c r="T83" s="45">
        <f t="shared" si="65"/>
        <v>1</v>
      </c>
      <c r="U83" s="48">
        <f t="shared" si="76"/>
        <v>1.0000000822403709E-9</v>
      </c>
      <c r="V83" s="48">
        <f t="shared" si="77"/>
        <v>1.0000000822403709E-9</v>
      </c>
      <c r="W83" s="45">
        <f t="shared" si="78"/>
        <v>1.0000001644807486E-18</v>
      </c>
      <c r="X83" s="45">
        <f t="shared" si="79"/>
        <v>1.0000001644807486E-18</v>
      </c>
      <c r="Y83" s="45">
        <f t="shared" si="80"/>
        <v>1.0000001644807486E-18</v>
      </c>
      <c r="Z83" s="45"/>
      <c r="AA83" s="45">
        <f t="shared" si="66"/>
        <v>1</v>
      </c>
      <c r="AB83" s="45">
        <f t="shared" si="81"/>
        <v>1</v>
      </c>
      <c r="AC83" s="45">
        <f t="shared" si="82"/>
        <v>1.0000000822403709E-9</v>
      </c>
      <c r="AD83" s="45">
        <f t="shared" si="83"/>
        <v>1.0000000822403709E-9</v>
      </c>
      <c r="AE83" s="45">
        <f t="shared" si="84"/>
        <v>1.0000001644807486E-18</v>
      </c>
      <c r="AF83" s="45">
        <f t="shared" si="85"/>
        <v>1.0000001644807486E-18</v>
      </c>
      <c r="AG83" s="45">
        <f t="shared" si="86"/>
        <v>1.0000001644807486E-18</v>
      </c>
      <c r="AH83" s="45"/>
      <c r="AI83" s="45">
        <f t="shared" si="87"/>
        <v>1</v>
      </c>
      <c r="AJ83" s="45">
        <f t="shared" si="88"/>
        <v>1</v>
      </c>
      <c r="AK83" s="45">
        <f t="shared" si="89"/>
        <v>1.0000000822403709E-9</v>
      </c>
      <c r="AL83" s="45">
        <f t="shared" si="90"/>
        <v>1.0000000822403709E-9</v>
      </c>
      <c r="AM83" s="45">
        <f t="shared" si="91"/>
        <v>1.0000001644807486E-18</v>
      </c>
      <c r="AN83" s="45">
        <f t="shared" si="92"/>
        <v>1.0000001644807486E-18</v>
      </c>
      <c r="AO83" s="45">
        <f t="shared" si="93"/>
        <v>1.0000001644807486E-18</v>
      </c>
      <c r="AP83" s="45"/>
      <c r="AQ83" s="45">
        <f t="shared" si="94"/>
        <v>1</v>
      </c>
      <c r="AR83" s="45">
        <f t="shared" si="95"/>
        <v>1</v>
      </c>
      <c r="AS83" s="45">
        <f t="shared" si="96"/>
        <v>1.0000000822403709E-9</v>
      </c>
      <c r="AT83" s="45">
        <f t="shared" si="97"/>
        <v>1.0000000822403709E-9</v>
      </c>
      <c r="AU83" s="45">
        <f t="shared" si="98"/>
        <v>1.0000001644807486E-18</v>
      </c>
      <c r="AV83" s="45">
        <f t="shared" si="99"/>
        <v>1.0000001644807486E-18</v>
      </c>
      <c r="AW83" s="45">
        <f t="shared" si="100"/>
        <v>1.0000001644807486E-18</v>
      </c>
      <c r="AX83" s="45"/>
      <c r="AY83" s="45"/>
      <c r="AZ83" s="45"/>
      <c r="BA83" s="45" t="str">
        <f t="shared" si="101"/>
        <v/>
      </c>
      <c r="BB83" s="45" t="str">
        <f t="shared" si="102"/>
        <v/>
      </c>
      <c r="BC83" s="45" t="str">
        <f t="shared" si="103"/>
        <v/>
      </c>
      <c r="BD83" s="45" t="str">
        <f t="shared" si="104"/>
        <v/>
      </c>
      <c r="BE83" s="45" t="str">
        <f t="shared" si="67"/>
        <v/>
      </c>
      <c r="BF83" s="45" t="str">
        <f t="shared" si="68"/>
        <v/>
      </c>
      <c r="BG83" s="45" t="str">
        <f t="shared" si="105"/>
        <v/>
      </c>
      <c r="BH83" s="45"/>
      <c r="BI83" s="45">
        <f t="shared" si="106"/>
        <v>-20000</v>
      </c>
      <c r="BJ83" s="45">
        <f t="shared" si="107"/>
        <v>0.10731709395383104</v>
      </c>
      <c r="BK83" s="45">
        <f t="shared" si="108"/>
        <v>0.12021860531546985</v>
      </c>
      <c r="BL83" s="45">
        <f t="shared" si="109"/>
        <v>-2.1184434825408114</v>
      </c>
      <c r="BM83" s="45">
        <f t="shared" si="69"/>
        <v>42368.869650816225</v>
      </c>
      <c r="BN83" s="45">
        <f t="shared" si="70"/>
        <v>400000000</v>
      </c>
      <c r="BO83" s="45">
        <f t="shared" si="110"/>
        <v>4.487802788719641</v>
      </c>
      <c r="BP83" s="45"/>
      <c r="BQ83" s="45"/>
      <c r="BR83" s="50" t="str">
        <f>IF(B34="","",F83)</f>
        <v/>
      </c>
      <c r="BS83" s="50" t="str">
        <f>IF(B34="","",BJ83)</f>
        <v/>
      </c>
      <c r="BT83" s="50" t="str">
        <f t="shared" si="111"/>
        <v/>
      </c>
      <c r="BU83" s="50" t="str">
        <f t="shared" si="112"/>
        <v/>
      </c>
      <c r="BV83" s="50" t="str">
        <f t="shared" si="71"/>
        <v/>
      </c>
      <c r="BW83" s="50" t="str">
        <f t="shared" si="72"/>
        <v/>
      </c>
      <c r="BX83" s="50" t="str">
        <f t="shared" si="113"/>
        <v/>
      </c>
      <c r="BY83" s="45"/>
      <c r="BZ83" s="72"/>
      <c r="CA83" s="72"/>
      <c r="CB83" s="72"/>
      <c r="CC83" s="72"/>
      <c r="CD83" s="72"/>
      <c r="CE83" s="72"/>
      <c r="CF83" s="72"/>
      <c r="CG83" s="72"/>
      <c r="CH83" s="72"/>
      <c r="CI83" s="72"/>
      <c r="CJ83" s="72"/>
      <c r="CK83" s="70"/>
      <c r="CL83" s="70"/>
    </row>
    <row r="84" spans="1:90" x14ac:dyDescent="0.3">
      <c r="A84" s="48">
        <f>'EINGABEN EINZELWERTE'!D21</f>
        <v>0</v>
      </c>
      <c r="B84" s="45" t="str">
        <f t="shared" si="114"/>
        <v/>
      </c>
      <c r="C84" s="48">
        <f>IF((B84=""),MAX(B9:B108),B84)</f>
        <v>20000</v>
      </c>
      <c r="D84" s="45">
        <f>SMALL(C9:C108,76)</f>
        <v>20000</v>
      </c>
      <c r="E84" s="45">
        <f>LARGE(C9:C108,76)</f>
        <v>20000</v>
      </c>
      <c r="F84" s="49">
        <f>IF(Q6=1,D84,-E84)</f>
        <v>-20000</v>
      </c>
      <c r="G84" s="49">
        <f t="shared" si="62"/>
        <v>0.11251763361691523</v>
      </c>
      <c r="H84" s="49">
        <f t="shared" si="73"/>
        <v>0.10731709395383104</v>
      </c>
      <c r="I84" s="45"/>
      <c r="J84" s="45">
        <f>IF(Q6=1,D84,D84)</f>
        <v>20000</v>
      </c>
      <c r="K84" s="45">
        <f t="shared" si="74"/>
        <v>0.88748236638308475</v>
      </c>
      <c r="L84" s="45">
        <f t="shared" si="75"/>
        <v>0.89268290604616896</v>
      </c>
      <c r="M84" s="45">
        <f t="shared" si="63"/>
        <v>0.69871771847211805</v>
      </c>
      <c r="N84" s="48"/>
      <c r="O84" s="68"/>
      <c r="P84" s="67"/>
      <c r="Q84" s="68"/>
      <c r="R84" s="68"/>
      <c r="S84" s="45">
        <f t="shared" si="64"/>
        <v>1</v>
      </c>
      <c r="T84" s="45">
        <f t="shared" si="65"/>
        <v>1</v>
      </c>
      <c r="U84" s="48">
        <f t="shared" si="76"/>
        <v>1.0000000822403709E-9</v>
      </c>
      <c r="V84" s="48">
        <f t="shared" si="77"/>
        <v>1.0000000822403709E-9</v>
      </c>
      <c r="W84" s="45">
        <f t="shared" si="78"/>
        <v>1.0000001644807486E-18</v>
      </c>
      <c r="X84" s="45">
        <f t="shared" si="79"/>
        <v>1.0000001644807486E-18</v>
      </c>
      <c r="Y84" s="45">
        <f t="shared" si="80"/>
        <v>1.0000001644807486E-18</v>
      </c>
      <c r="Z84" s="45"/>
      <c r="AA84" s="45">
        <f t="shared" si="66"/>
        <v>1</v>
      </c>
      <c r="AB84" s="45">
        <f t="shared" si="81"/>
        <v>1</v>
      </c>
      <c r="AC84" s="45">
        <f t="shared" si="82"/>
        <v>1.0000000822403709E-9</v>
      </c>
      <c r="AD84" s="45">
        <f t="shared" si="83"/>
        <v>1.0000000822403709E-9</v>
      </c>
      <c r="AE84" s="45">
        <f t="shared" si="84"/>
        <v>1.0000001644807486E-18</v>
      </c>
      <c r="AF84" s="45">
        <f t="shared" si="85"/>
        <v>1.0000001644807486E-18</v>
      </c>
      <c r="AG84" s="45">
        <f t="shared" si="86"/>
        <v>1.0000001644807486E-18</v>
      </c>
      <c r="AH84" s="45"/>
      <c r="AI84" s="45">
        <f t="shared" si="87"/>
        <v>1</v>
      </c>
      <c r="AJ84" s="45">
        <f t="shared" si="88"/>
        <v>1</v>
      </c>
      <c r="AK84" s="45">
        <f t="shared" si="89"/>
        <v>1.0000000822403709E-9</v>
      </c>
      <c r="AL84" s="45">
        <f t="shared" si="90"/>
        <v>1.0000000822403709E-9</v>
      </c>
      <c r="AM84" s="45">
        <f t="shared" si="91"/>
        <v>1.0000001644807486E-18</v>
      </c>
      <c r="AN84" s="45">
        <f t="shared" si="92"/>
        <v>1.0000001644807486E-18</v>
      </c>
      <c r="AO84" s="45">
        <f t="shared" si="93"/>
        <v>1.0000001644807486E-18</v>
      </c>
      <c r="AP84" s="45"/>
      <c r="AQ84" s="45">
        <f t="shared" si="94"/>
        <v>1</v>
      </c>
      <c r="AR84" s="45">
        <f t="shared" si="95"/>
        <v>1</v>
      </c>
      <c r="AS84" s="45">
        <f t="shared" si="96"/>
        <v>1.0000000822403709E-9</v>
      </c>
      <c r="AT84" s="45">
        <f t="shared" si="97"/>
        <v>1.0000000822403709E-9</v>
      </c>
      <c r="AU84" s="45">
        <f t="shared" si="98"/>
        <v>1.0000001644807486E-18</v>
      </c>
      <c r="AV84" s="45">
        <f t="shared" si="99"/>
        <v>1.0000001644807486E-18</v>
      </c>
      <c r="AW84" s="45">
        <f t="shared" si="100"/>
        <v>1.0000001644807486E-18</v>
      </c>
      <c r="AX84" s="45"/>
      <c r="AY84" s="45"/>
      <c r="AZ84" s="45"/>
      <c r="BA84" s="45" t="str">
        <f t="shared" si="101"/>
        <v/>
      </c>
      <c r="BB84" s="45" t="str">
        <f t="shared" si="102"/>
        <v/>
      </c>
      <c r="BC84" s="45" t="str">
        <f t="shared" si="103"/>
        <v/>
      </c>
      <c r="BD84" s="45" t="str">
        <f t="shared" si="104"/>
        <v/>
      </c>
      <c r="BE84" s="45" t="str">
        <f t="shared" si="67"/>
        <v/>
      </c>
      <c r="BF84" s="45" t="str">
        <f t="shared" si="68"/>
        <v/>
      </c>
      <c r="BG84" s="45" t="str">
        <f t="shared" si="105"/>
        <v/>
      </c>
      <c r="BH84" s="45"/>
      <c r="BI84" s="45">
        <f t="shared" si="106"/>
        <v>-20000</v>
      </c>
      <c r="BJ84" s="45">
        <f t="shared" si="107"/>
        <v>0.10731709395383104</v>
      </c>
      <c r="BK84" s="45">
        <f t="shared" si="108"/>
        <v>0.12021860531546985</v>
      </c>
      <c r="BL84" s="45">
        <f t="shared" si="109"/>
        <v>-2.1184434825408114</v>
      </c>
      <c r="BM84" s="45">
        <f t="shared" si="69"/>
        <v>42368.869650816225</v>
      </c>
      <c r="BN84" s="45">
        <f t="shared" si="70"/>
        <v>400000000</v>
      </c>
      <c r="BO84" s="45">
        <f t="shared" si="110"/>
        <v>4.487802788719641</v>
      </c>
      <c r="BP84" s="45"/>
      <c r="BQ84" s="45"/>
      <c r="BR84" s="50" t="str">
        <f>IF(B33="","",F84)</f>
        <v/>
      </c>
      <c r="BS84" s="50" t="str">
        <f>IF(B33="","",BJ84)</f>
        <v/>
      </c>
      <c r="BT84" s="50" t="str">
        <f t="shared" si="111"/>
        <v/>
      </c>
      <c r="BU84" s="50" t="str">
        <f t="shared" si="112"/>
        <v/>
      </c>
      <c r="BV84" s="50" t="str">
        <f t="shared" si="71"/>
        <v/>
      </c>
      <c r="BW84" s="50" t="str">
        <f t="shared" si="72"/>
        <v/>
      </c>
      <c r="BX84" s="50" t="str">
        <f t="shared" si="113"/>
        <v/>
      </c>
      <c r="BY84" s="45"/>
      <c r="BZ84" s="72"/>
      <c r="CA84" s="72"/>
      <c r="CB84" s="72"/>
      <c r="CC84" s="72"/>
      <c r="CD84" s="72"/>
      <c r="CE84" s="72"/>
      <c r="CF84" s="72"/>
      <c r="CG84" s="72"/>
      <c r="CH84" s="72"/>
      <c r="CI84" s="72"/>
      <c r="CJ84" s="72"/>
      <c r="CK84" s="70"/>
      <c r="CL84" s="70"/>
    </row>
    <row r="85" spans="1:90" x14ac:dyDescent="0.3">
      <c r="A85" s="48">
        <f>'EINGABEN EINZELWERTE'!D22</f>
        <v>0</v>
      </c>
      <c r="B85" s="45" t="str">
        <f t="shared" si="114"/>
        <v/>
      </c>
      <c r="C85" s="48">
        <f>IF((B85=""),MAX(B9:B108),B85)</f>
        <v>20000</v>
      </c>
      <c r="D85" s="45">
        <f>SMALL(C9:C108,77)</f>
        <v>20000</v>
      </c>
      <c r="E85" s="45">
        <f>LARGE(C9:C108,77)</f>
        <v>20000</v>
      </c>
      <c r="F85" s="49">
        <f>IF(Q6=1,D85,-E85)</f>
        <v>-20000</v>
      </c>
      <c r="G85" s="49">
        <f t="shared" si="62"/>
        <v>0.11251763361691523</v>
      </c>
      <c r="H85" s="49">
        <f t="shared" si="73"/>
        <v>0.10731709395383104</v>
      </c>
      <c r="I85" s="45"/>
      <c r="J85" s="45">
        <f>IF(Q6=1,D85,D85)</f>
        <v>20000</v>
      </c>
      <c r="K85" s="45">
        <f t="shared" si="74"/>
        <v>0.88748236638308475</v>
      </c>
      <c r="L85" s="45">
        <f t="shared" si="75"/>
        <v>0.89268290604616896</v>
      </c>
      <c r="M85" s="45">
        <f t="shared" si="63"/>
        <v>0.69871771847211805</v>
      </c>
      <c r="N85" s="48"/>
      <c r="O85" s="68"/>
      <c r="P85" s="67"/>
      <c r="Q85" s="68"/>
      <c r="R85" s="68"/>
      <c r="S85" s="45">
        <f t="shared" si="64"/>
        <v>1</v>
      </c>
      <c r="T85" s="45">
        <f t="shared" si="65"/>
        <v>1</v>
      </c>
      <c r="U85" s="48">
        <f t="shared" si="76"/>
        <v>1.0000000822403709E-9</v>
      </c>
      <c r="V85" s="48">
        <f t="shared" si="77"/>
        <v>1.0000000822403709E-9</v>
      </c>
      <c r="W85" s="45">
        <f t="shared" si="78"/>
        <v>1.0000001644807486E-18</v>
      </c>
      <c r="X85" s="45">
        <f t="shared" si="79"/>
        <v>1.0000001644807486E-18</v>
      </c>
      <c r="Y85" s="45">
        <f t="shared" si="80"/>
        <v>1.0000001644807486E-18</v>
      </c>
      <c r="Z85" s="45"/>
      <c r="AA85" s="45">
        <f t="shared" si="66"/>
        <v>1</v>
      </c>
      <c r="AB85" s="45">
        <f t="shared" si="81"/>
        <v>1</v>
      </c>
      <c r="AC85" s="45">
        <f t="shared" si="82"/>
        <v>1.0000000822403709E-9</v>
      </c>
      <c r="AD85" s="45">
        <f t="shared" si="83"/>
        <v>1.0000000822403709E-9</v>
      </c>
      <c r="AE85" s="45">
        <f t="shared" si="84"/>
        <v>1.0000001644807486E-18</v>
      </c>
      <c r="AF85" s="45">
        <f t="shared" si="85"/>
        <v>1.0000001644807486E-18</v>
      </c>
      <c r="AG85" s="45">
        <f t="shared" si="86"/>
        <v>1.0000001644807486E-18</v>
      </c>
      <c r="AH85" s="45"/>
      <c r="AI85" s="45">
        <f t="shared" si="87"/>
        <v>1</v>
      </c>
      <c r="AJ85" s="45">
        <f t="shared" si="88"/>
        <v>1</v>
      </c>
      <c r="AK85" s="45">
        <f t="shared" si="89"/>
        <v>1.0000000822403709E-9</v>
      </c>
      <c r="AL85" s="45">
        <f t="shared" si="90"/>
        <v>1.0000000822403709E-9</v>
      </c>
      <c r="AM85" s="45">
        <f t="shared" si="91"/>
        <v>1.0000001644807486E-18</v>
      </c>
      <c r="AN85" s="45">
        <f t="shared" si="92"/>
        <v>1.0000001644807486E-18</v>
      </c>
      <c r="AO85" s="45">
        <f t="shared" si="93"/>
        <v>1.0000001644807486E-18</v>
      </c>
      <c r="AP85" s="45"/>
      <c r="AQ85" s="45">
        <f t="shared" si="94"/>
        <v>1</v>
      </c>
      <c r="AR85" s="45">
        <f t="shared" si="95"/>
        <v>1</v>
      </c>
      <c r="AS85" s="45">
        <f t="shared" si="96"/>
        <v>1.0000000822403709E-9</v>
      </c>
      <c r="AT85" s="45">
        <f t="shared" si="97"/>
        <v>1.0000000822403709E-9</v>
      </c>
      <c r="AU85" s="45">
        <f t="shared" si="98"/>
        <v>1.0000001644807486E-18</v>
      </c>
      <c r="AV85" s="45">
        <f t="shared" si="99"/>
        <v>1.0000001644807486E-18</v>
      </c>
      <c r="AW85" s="45">
        <f t="shared" si="100"/>
        <v>1.0000001644807486E-18</v>
      </c>
      <c r="AX85" s="45"/>
      <c r="AY85" s="45"/>
      <c r="AZ85" s="45"/>
      <c r="BA85" s="45" t="str">
        <f t="shared" si="101"/>
        <v/>
      </c>
      <c r="BB85" s="45" t="str">
        <f t="shared" si="102"/>
        <v/>
      </c>
      <c r="BC85" s="45" t="str">
        <f t="shared" si="103"/>
        <v/>
      </c>
      <c r="BD85" s="45" t="str">
        <f t="shared" si="104"/>
        <v/>
      </c>
      <c r="BE85" s="45" t="str">
        <f t="shared" si="67"/>
        <v/>
      </c>
      <c r="BF85" s="45" t="str">
        <f t="shared" si="68"/>
        <v/>
      </c>
      <c r="BG85" s="45" t="str">
        <f t="shared" si="105"/>
        <v/>
      </c>
      <c r="BH85" s="45"/>
      <c r="BI85" s="45">
        <f t="shared" si="106"/>
        <v>-20000</v>
      </c>
      <c r="BJ85" s="45">
        <f t="shared" si="107"/>
        <v>0.10731709395383104</v>
      </c>
      <c r="BK85" s="45">
        <f t="shared" si="108"/>
        <v>0.12021860531546985</v>
      </c>
      <c r="BL85" s="45">
        <f t="shared" si="109"/>
        <v>-2.1184434825408114</v>
      </c>
      <c r="BM85" s="45">
        <f t="shared" si="69"/>
        <v>42368.869650816225</v>
      </c>
      <c r="BN85" s="45">
        <f t="shared" si="70"/>
        <v>400000000</v>
      </c>
      <c r="BO85" s="45">
        <f t="shared" si="110"/>
        <v>4.487802788719641</v>
      </c>
      <c r="BP85" s="45"/>
      <c r="BQ85" s="45"/>
      <c r="BR85" s="50" t="str">
        <f>IF(B32="","",F85)</f>
        <v/>
      </c>
      <c r="BS85" s="50" t="str">
        <f>IF(B32="","",BJ85)</f>
        <v/>
      </c>
      <c r="BT85" s="50" t="str">
        <f t="shared" si="111"/>
        <v/>
      </c>
      <c r="BU85" s="50" t="str">
        <f t="shared" si="112"/>
        <v/>
      </c>
      <c r="BV85" s="50" t="str">
        <f t="shared" si="71"/>
        <v/>
      </c>
      <c r="BW85" s="50" t="str">
        <f t="shared" si="72"/>
        <v/>
      </c>
      <c r="BX85" s="50" t="str">
        <f t="shared" si="113"/>
        <v/>
      </c>
      <c r="BY85" s="45"/>
      <c r="BZ85" s="72"/>
      <c r="CA85" s="72"/>
      <c r="CB85" s="72"/>
      <c r="CC85" s="72"/>
      <c r="CD85" s="72"/>
      <c r="CE85" s="72"/>
      <c r="CF85" s="72"/>
      <c r="CG85" s="72"/>
      <c r="CH85" s="72"/>
      <c r="CI85" s="72"/>
      <c r="CJ85" s="72"/>
      <c r="CK85" s="70"/>
      <c r="CL85" s="70"/>
    </row>
    <row r="86" spans="1:90" x14ac:dyDescent="0.3">
      <c r="A86" s="48">
        <f>'EINGABEN EINZELWERTE'!D23</f>
        <v>0</v>
      </c>
      <c r="B86" s="45" t="str">
        <f t="shared" si="114"/>
        <v/>
      </c>
      <c r="C86" s="48">
        <f>IF((B86=""),MAX(B9:B108),B86)</f>
        <v>20000</v>
      </c>
      <c r="D86" s="45">
        <f>SMALL(C9:C108,78)</f>
        <v>20000</v>
      </c>
      <c r="E86" s="45">
        <f>LARGE(C9:C108,78)</f>
        <v>20000</v>
      </c>
      <c r="F86" s="49">
        <f>IF(Q6=1,D86,-E86)</f>
        <v>-20000</v>
      </c>
      <c r="G86" s="49">
        <f t="shared" si="62"/>
        <v>0.11251763361691523</v>
      </c>
      <c r="H86" s="49">
        <f t="shared" si="73"/>
        <v>0.10731709395383104</v>
      </c>
      <c r="I86" s="45"/>
      <c r="J86" s="45">
        <f>IF(Q6=1,D86,D86)</f>
        <v>20000</v>
      </c>
      <c r="K86" s="45">
        <f t="shared" si="74"/>
        <v>0.88748236638308475</v>
      </c>
      <c r="L86" s="45">
        <f t="shared" si="75"/>
        <v>0.89268290604616896</v>
      </c>
      <c r="M86" s="45">
        <f t="shared" si="63"/>
        <v>0.69871771847211805</v>
      </c>
      <c r="N86" s="48"/>
      <c r="O86" s="68"/>
      <c r="P86" s="67"/>
      <c r="Q86" s="68"/>
      <c r="R86" s="68"/>
      <c r="S86" s="45">
        <f t="shared" si="64"/>
        <v>1</v>
      </c>
      <c r="T86" s="45">
        <f t="shared" si="65"/>
        <v>1</v>
      </c>
      <c r="U86" s="48">
        <f t="shared" si="76"/>
        <v>1.0000000822403709E-9</v>
      </c>
      <c r="V86" s="48">
        <f t="shared" si="77"/>
        <v>1.0000000822403709E-9</v>
      </c>
      <c r="W86" s="45">
        <f t="shared" si="78"/>
        <v>1.0000001644807486E-18</v>
      </c>
      <c r="X86" s="45">
        <f t="shared" si="79"/>
        <v>1.0000001644807486E-18</v>
      </c>
      <c r="Y86" s="45">
        <f t="shared" si="80"/>
        <v>1.0000001644807486E-18</v>
      </c>
      <c r="Z86" s="45"/>
      <c r="AA86" s="45">
        <f t="shared" si="66"/>
        <v>1</v>
      </c>
      <c r="AB86" s="45">
        <f t="shared" si="81"/>
        <v>1</v>
      </c>
      <c r="AC86" s="45">
        <f t="shared" si="82"/>
        <v>1.0000000822403709E-9</v>
      </c>
      <c r="AD86" s="45">
        <f t="shared" si="83"/>
        <v>1.0000000822403709E-9</v>
      </c>
      <c r="AE86" s="45">
        <f t="shared" si="84"/>
        <v>1.0000001644807486E-18</v>
      </c>
      <c r="AF86" s="45">
        <f t="shared" si="85"/>
        <v>1.0000001644807486E-18</v>
      </c>
      <c r="AG86" s="45">
        <f t="shared" si="86"/>
        <v>1.0000001644807486E-18</v>
      </c>
      <c r="AH86" s="45"/>
      <c r="AI86" s="45">
        <f t="shared" si="87"/>
        <v>1</v>
      </c>
      <c r="AJ86" s="45">
        <f t="shared" si="88"/>
        <v>1</v>
      </c>
      <c r="AK86" s="45">
        <f t="shared" si="89"/>
        <v>1.0000000822403709E-9</v>
      </c>
      <c r="AL86" s="45">
        <f t="shared" si="90"/>
        <v>1.0000000822403709E-9</v>
      </c>
      <c r="AM86" s="45">
        <f t="shared" si="91"/>
        <v>1.0000001644807486E-18</v>
      </c>
      <c r="AN86" s="45">
        <f t="shared" si="92"/>
        <v>1.0000001644807486E-18</v>
      </c>
      <c r="AO86" s="45">
        <f t="shared" si="93"/>
        <v>1.0000001644807486E-18</v>
      </c>
      <c r="AP86" s="45"/>
      <c r="AQ86" s="45">
        <f t="shared" si="94"/>
        <v>1</v>
      </c>
      <c r="AR86" s="45">
        <f t="shared" si="95"/>
        <v>1</v>
      </c>
      <c r="AS86" s="45">
        <f t="shared" si="96"/>
        <v>1.0000000822403709E-9</v>
      </c>
      <c r="AT86" s="45">
        <f t="shared" si="97"/>
        <v>1.0000000822403709E-9</v>
      </c>
      <c r="AU86" s="45">
        <f t="shared" si="98"/>
        <v>1.0000001644807486E-18</v>
      </c>
      <c r="AV86" s="45">
        <f t="shared" si="99"/>
        <v>1.0000001644807486E-18</v>
      </c>
      <c r="AW86" s="45">
        <f t="shared" si="100"/>
        <v>1.0000001644807486E-18</v>
      </c>
      <c r="AX86" s="45"/>
      <c r="AY86" s="45"/>
      <c r="AZ86" s="45"/>
      <c r="BA86" s="45" t="str">
        <f t="shared" si="101"/>
        <v/>
      </c>
      <c r="BB86" s="45" t="str">
        <f t="shared" si="102"/>
        <v/>
      </c>
      <c r="BC86" s="45" t="str">
        <f t="shared" si="103"/>
        <v/>
      </c>
      <c r="BD86" s="45" t="str">
        <f t="shared" si="104"/>
        <v/>
      </c>
      <c r="BE86" s="45" t="str">
        <f t="shared" si="67"/>
        <v/>
      </c>
      <c r="BF86" s="45" t="str">
        <f t="shared" si="68"/>
        <v/>
      </c>
      <c r="BG86" s="45" t="str">
        <f t="shared" si="105"/>
        <v/>
      </c>
      <c r="BH86" s="45"/>
      <c r="BI86" s="45">
        <f t="shared" si="106"/>
        <v>-20000</v>
      </c>
      <c r="BJ86" s="45">
        <f t="shared" si="107"/>
        <v>0.10731709395383104</v>
      </c>
      <c r="BK86" s="45">
        <f t="shared" si="108"/>
        <v>0.12021860531546985</v>
      </c>
      <c r="BL86" s="45">
        <f t="shared" si="109"/>
        <v>-2.1184434825408114</v>
      </c>
      <c r="BM86" s="45">
        <f t="shared" si="69"/>
        <v>42368.869650816225</v>
      </c>
      <c r="BN86" s="45">
        <f t="shared" si="70"/>
        <v>400000000</v>
      </c>
      <c r="BO86" s="45">
        <f t="shared" si="110"/>
        <v>4.487802788719641</v>
      </c>
      <c r="BP86" s="45"/>
      <c r="BQ86" s="45"/>
      <c r="BR86" s="50" t="str">
        <f>IF(B31="","",F86)</f>
        <v/>
      </c>
      <c r="BS86" s="50" t="str">
        <f>IF(B31="","",BJ86)</f>
        <v/>
      </c>
      <c r="BT86" s="50" t="str">
        <f t="shared" si="111"/>
        <v/>
      </c>
      <c r="BU86" s="50" t="str">
        <f t="shared" si="112"/>
        <v/>
      </c>
      <c r="BV86" s="50" t="str">
        <f t="shared" si="71"/>
        <v/>
      </c>
      <c r="BW86" s="50" t="str">
        <f t="shared" si="72"/>
        <v/>
      </c>
      <c r="BX86" s="50" t="str">
        <f t="shared" si="113"/>
        <v/>
      </c>
      <c r="BY86" s="45"/>
      <c r="BZ86" s="72"/>
      <c r="CA86" s="72"/>
      <c r="CB86" s="72"/>
      <c r="CC86" s="72"/>
      <c r="CD86" s="72"/>
      <c r="CE86" s="72"/>
      <c r="CF86" s="72"/>
      <c r="CG86" s="72"/>
      <c r="CH86" s="72"/>
      <c r="CI86" s="72"/>
      <c r="CJ86" s="72"/>
      <c r="CK86" s="70"/>
      <c r="CL86" s="70"/>
    </row>
    <row r="87" spans="1:90" x14ac:dyDescent="0.3">
      <c r="A87" s="48">
        <f>'EINGABEN EINZELWERTE'!D24</f>
        <v>0</v>
      </c>
      <c r="B87" s="45" t="str">
        <f t="shared" si="114"/>
        <v/>
      </c>
      <c r="C87" s="48">
        <f>IF((B87=""),MAX(B9:B108),B87)</f>
        <v>20000</v>
      </c>
      <c r="D87" s="45">
        <f>SMALL(C9:C108,79)</f>
        <v>20000</v>
      </c>
      <c r="E87" s="45">
        <f>LARGE(C9:C108,79)</f>
        <v>20000</v>
      </c>
      <c r="F87" s="49">
        <f>IF(Q6=1,D87,-E87)</f>
        <v>-20000</v>
      </c>
      <c r="G87" s="49">
        <f t="shared" si="62"/>
        <v>0.11251763361691523</v>
      </c>
      <c r="H87" s="49">
        <f t="shared" si="73"/>
        <v>0.10731709395383104</v>
      </c>
      <c r="I87" s="45"/>
      <c r="J87" s="45">
        <f>IF(Q6=1,D87,D87)</f>
        <v>20000</v>
      </c>
      <c r="K87" s="45">
        <f t="shared" si="74"/>
        <v>0.88748236638308475</v>
      </c>
      <c r="L87" s="45">
        <f t="shared" si="75"/>
        <v>0.89268290604616896</v>
      </c>
      <c r="M87" s="45">
        <f t="shared" si="63"/>
        <v>0.69871771847211805</v>
      </c>
      <c r="N87" s="48"/>
      <c r="O87" s="68"/>
      <c r="P87" s="67"/>
      <c r="Q87" s="68"/>
      <c r="R87" s="68"/>
      <c r="S87" s="45">
        <f t="shared" si="64"/>
        <v>1</v>
      </c>
      <c r="T87" s="45">
        <f t="shared" si="65"/>
        <v>1</v>
      </c>
      <c r="U87" s="48">
        <f t="shared" si="76"/>
        <v>1.0000000822403709E-9</v>
      </c>
      <c r="V87" s="48">
        <f t="shared" si="77"/>
        <v>1.0000000822403709E-9</v>
      </c>
      <c r="W87" s="45">
        <f t="shared" si="78"/>
        <v>1.0000001644807486E-18</v>
      </c>
      <c r="X87" s="45">
        <f t="shared" si="79"/>
        <v>1.0000001644807486E-18</v>
      </c>
      <c r="Y87" s="45">
        <f t="shared" si="80"/>
        <v>1.0000001644807486E-18</v>
      </c>
      <c r="Z87" s="45"/>
      <c r="AA87" s="45">
        <f t="shared" si="66"/>
        <v>1</v>
      </c>
      <c r="AB87" s="45">
        <f t="shared" si="81"/>
        <v>1</v>
      </c>
      <c r="AC87" s="45">
        <f t="shared" si="82"/>
        <v>1.0000000822403709E-9</v>
      </c>
      <c r="AD87" s="45">
        <f t="shared" si="83"/>
        <v>1.0000000822403709E-9</v>
      </c>
      <c r="AE87" s="45">
        <f t="shared" si="84"/>
        <v>1.0000001644807486E-18</v>
      </c>
      <c r="AF87" s="45">
        <f t="shared" si="85"/>
        <v>1.0000001644807486E-18</v>
      </c>
      <c r="AG87" s="45">
        <f t="shared" si="86"/>
        <v>1.0000001644807486E-18</v>
      </c>
      <c r="AH87" s="45"/>
      <c r="AI87" s="45">
        <f t="shared" si="87"/>
        <v>1</v>
      </c>
      <c r="AJ87" s="45">
        <f t="shared" si="88"/>
        <v>1</v>
      </c>
      <c r="AK87" s="45">
        <f t="shared" si="89"/>
        <v>1.0000000822403709E-9</v>
      </c>
      <c r="AL87" s="45">
        <f t="shared" si="90"/>
        <v>1.0000000822403709E-9</v>
      </c>
      <c r="AM87" s="45">
        <f t="shared" si="91"/>
        <v>1.0000001644807486E-18</v>
      </c>
      <c r="AN87" s="45">
        <f t="shared" si="92"/>
        <v>1.0000001644807486E-18</v>
      </c>
      <c r="AO87" s="45">
        <f t="shared" si="93"/>
        <v>1.0000001644807486E-18</v>
      </c>
      <c r="AP87" s="45"/>
      <c r="AQ87" s="45">
        <f t="shared" si="94"/>
        <v>1</v>
      </c>
      <c r="AR87" s="45">
        <f t="shared" si="95"/>
        <v>1</v>
      </c>
      <c r="AS87" s="45">
        <f t="shared" si="96"/>
        <v>1.0000000822403709E-9</v>
      </c>
      <c r="AT87" s="45">
        <f t="shared" si="97"/>
        <v>1.0000000822403709E-9</v>
      </c>
      <c r="AU87" s="45">
        <f t="shared" si="98"/>
        <v>1.0000001644807486E-18</v>
      </c>
      <c r="AV87" s="45">
        <f t="shared" si="99"/>
        <v>1.0000001644807486E-18</v>
      </c>
      <c r="AW87" s="45">
        <f t="shared" si="100"/>
        <v>1.0000001644807486E-18</v>
      </c>
      <c r="AX87" s="45"/>
      <c r="AY87" s="45"/>
      <c r="AZ87" s="45"/>
      <c r="BA87" s="45" t="str">
        <f t="shared" si="101"/>
        <v/>
      </c>
      <c r="BB87" s="45" t="str">
        <f t="shared" si="102"/>
        <v/>
      </c>
      <c r="BC87" s="45" t="str">
        <f t="shared" si="103"/>
        <v/>
      </c>
      <c r="BD87" s="45" t="str">
        <f t="shared" si="104"/>
        <v/>
      </c>
      <c r="BE87" s="45" t="str">
        <f t="shared" si="67"/>
        <v/>
      </c>
      <c r="BF87" s="45" t="str">
        <f t="shared" si="68"/>
        <v/>
      </c>
      <c r="BG87" s="45" t="str">
        <f t="shared" si="105"/>
        <v/>
      </c>
      <c r="BH87" s="45"/>
      <c r="BI87" s="45">
        <f t="shared" si="106"/>
        <v>-20000</v>
      </c>
      <c r="BJ87" s="45">
        <f t="shared" si="107"/>
        <v>0.10731709395383104</v>
      </c>
      <c r="BK87" s="45">
        <f t="shared" si="108"/>
        <v>0.12021860531546985</v>
      </c>
      <c r="BL87" s="45">
        <f t="shared" si="109"/>
        <v>-2.1184434825408114</v>
      </c>
      <c r="BM87" s="45">
        <f t="shared" si="69"/>
        <v>42368.869650816225</v>
      </c>
      <c r="BN87" s="45">
        <f t="shared" si="70"/>
        <v>400000000</v>
      </c>
      <c r="BO87" s="45">
        <f t="shared" si="110"/>
        <v>4.487802788719641</v>
      </c>
      <c r="BP87" s="45"/>
      <c r="BQ87" s="45"/>
      <c r="BR87" s="50" t="str">
        <f>IF(B30="","",F87)</f>
        <v/>
      </c>
      <c r="BS87" s="50" t="str">
        <f>IF(B30="","",BJ87)</f>
        <v/>
      </c>
      <c r="BT87" s="50" t="str">
        <f t="shared" si="111"/>
        <v/>
      </c>
      <c r="BU87" s="50" t="str">
        <f t="shared" si="112"/>
        <v/>
      </c>
      <c r="BV87" s="50" t="str">
        <f t="shared" si="71"/>
        <v/>
      </c>
      <c r="BW87" s="50" t="str">
        <f t="shared" si="72"/>
        <v/>
      </c>
      <c r="BX87" s="50" t="str">
        <f t="shared" si="113"/>
        <v/>
      </c>
      <c r="BY87" s="45"/>
      <c r="BZ87" s="72"/>
      <c r="CA87" s="72"/>
      <c r="CB87" s="72"/>
      <c r="CC87" s="72"/>
      <c r="CD87" s="72"/>
      <c r="CE87" s="72"/>
      <c r="CF87" s="72"/>
      <c r="CG87" s="72"/>
      <c r="CH87" s="72"/>
      <c r="CI87" s="72"/>
      <c r="CJ87" s="72"/>
      <c r="CK87" s="70"/>
      <c r="CL87" s="70"/>
    </row>
    <row r="88" spans="1:90" x14ac:dyDescent="0.3">
      <c r="A88" s="48">
        <f>'EINGABEN EINZELWERTE'!D25</f>
        <v>0</v>
      </c>
      <c r="B88" s="45" t="str">
        <f t="shared" si="114"/>
        <v/>
      </c>
      <c r="C88" s="48">
        <f>IF((B88=""),MAX(B9:B108),B88)</f>
        <v>20000</v>
      </c>
      <c r="D88" s="45">
        <f>SMALL(C9:C108,80)</f>
        <v>20000</v>
      </c>
      <c r="E88" s="45">
        <f>LARGE(C9:C108,80)</f>
        <v>20000</v>
      </c>
      <c r="F88" s="49">
        <f>IF(Q6=1,D88,-E88)</f>
        <v>-20000</v>
      </c>
      <c r="G88" s="49">
        <f t="shared" si="62"/>
        <v>0.11251763361691523</v>
      </c>
      <c r="H88" s="49">
        <f t="shared" si="73"/>
        <v>0.10731709395383104</v>
      </c>
      <c r="I88" s="45"/>
      <c r="J88" s="45">
        <f>IF(Q6=1,D88,D88)</f>
        <v>20000</v>
      </c>
      <c r="K88" s="45">
        <f t="shared" si="74"/>
        <v>0.88748236638308475</v>
      </c>
      <c r="L88" s="45">
        <f t="shared" si="75"/>
        <v>0.89268290604616896</v>
      </c>
      <c r="M88" s="45">
        <f t="shared" si="63"/>
        <v>0.69871771847211805</v>
      </c>
      <c r="N88" s="48"/>
      <c r="O88" s="68"/>
      <c r="P88" s="67"/>
      <c r="Q88" s="68"/>
      <c r="R88" s="68"/>
      <c r="S88" s="45">
        <f t="shared" si="64"/>
        <v>1</v>
      </c>
      <c r="T88" s="45">
        <f t="shared" si="65"/>
        <v>1</v>
      </c>
      <c r="U88" s="48">
        <f t="shared" si="76"/>
        <v>1.0000000822403709E-9</v>
      </c>
      <c r="V88" s="48">
        <f t="shared" si="77"/>
        <v>1.0000000822403709E-9</v>
      </c>
      <c r="W88" s="45">
        <f t="shared" si="78"/>
        <v>1.0000001644807486E-18</v>
      </c>
      <c r="X88" s="45">
        <f t="shared" si="79"/>
        <v>1.0000001644807486E-18</v>
      </c>
      <c r="Y88" s="45">
        <f t="shared" si="80"/>
        <v>1.0000001644807486E-18</v>
      </c>
      <c r="Z88" s="45"/>
      <c r="AA88" s="45">
        <f t="shared" si="66"/>
        <v>1</v>
      </c>
      <c r="AB88" s="45">
        <f t="shared" si="81"/>
        <v>1</v>
      </c>
      <c r="AC88" s="45">
        <f t="shared" si="82"/>
        <v>1.0000000822403709E-9</v>
      </c>
      <c r="AD88" s="45">
        <f t="shared" si="83"/>
        <v>1.0000000822403709E-9</v>
      </c>
      <c r="AE88" s="45">
        <f t="shared" si="84"/>
        <v>1.0000001644807486E-18</v>
      </c>
      <c r="AF88" s="45">
        <f t="shared" si="85"/>
        <v>1.0000001644807486E-18</v>
      </c>
      <c r="AG88" s="45">
        <f t="shared" si="86"/>
        <v>1.0000001644807486E-18</v>
      </c>
      <c r="AH88" s="45"/>
      <c r="AI88" s="45">
        <f t="shared" si="87"/>
        <v>1</v>
      </c>
      <c r="AJ88" s="45">
        <f t="shared" si="88"/>
        <v>1</v>
      </c>
      <c r="AK88" s="45">
        <f t="shared" si="89"/>
        <v>1.0000000822403709E-9</v>
      </c>
      <c r="AL88" s="45">
        <f t="shared" si="90"/>
        <v>1.0000000822403709E-9</v>
      </c>
      <c r="AM88" s="45">
        <f t="shared" si="91"/>
        <v>1.0000001644807486E-18</v>
      </c>
      <c r="AN88" s="45">
        <f t="shared" si="92"/>
        <v>1.0000001644807486E-18</v>
      </c>
      <c r="AO88" s="45">
        <f t="shared" si="93"/>
        <v>1.0000001644807486E-18</v>
      </c>
      <c r="AP88" s="45"/>
      <c r="AQ88" s="45">
        <f t="shared" si="94"/>
        <v>1</v>
      </c>
      <c r="AR88" s="45">
        <f t="shared" si="95"/>
        <v>1</v>
      </c>
      <c r="AS88" s="45">
        <f t="shared" si="96"/>
        <v>1.0000000822403709E-9</v>
      </c>
      <c r="AT88" s="45">
        <f t="shared" si="97"/>
        <v>1.0000000822403709E-9</v>
      </c>
      <c r="AU88" s="45">
        <f t="shared" si="98"/>
        <v>1.0000001644807486E-18</v>
      </c>
      <c r="AV88" s="45">
        <f t="shared" si="99"/>
        <v>1.0000001644807486E-18</v>
      </c>
      <c r="AW88" s="45">
        <f t="shared" si="100"/>
        <v>1.0000001644807486E-18</v>
      </c>
      <c r="AX88" s="45"/>
      <c r="AY88" s="45"/>
      <c r="AZ88" s="45"/>
      <c r="BA88" s="45" t="str">
        <f t="shared" si="101"/>
        <v/>
      </c>
      <c r="BB88" s="45" t="str">
        <f t="shared" si="102"/>
        <v/>
      </c>
      <c r="BC88" s="45" t="str">
        <f t="shared" si="103"/>
        <v/>
      </c>
      <c r="BD88" s="45" t="str">
        <f t="shared" si="104"/>
        <v/>
      </c>
      <c r="BE88" s="45" t="str">
        <f t="shared" si="67"/>
        <v/>
      </c>
      <c r="BF88" s="45" t="str">
        <f t="shared" si="68"/>
        <v/>
      </c>
      <c r="BG88" s="45" t="str">
        <f t="shared" si="105"/>
        <v/>
      </c>
      <c r="BH88" s="45"/>
      <c r="BI88" s="45">
        <f t="shared" si="106"/>
        <v>-20000</v>
      </c>
      <c r="BJ88" s="45">
        <f t="shared" si="107"/>
        <v>0.10731709395383104</v>
      </c>
      <c r="BK88" s="45">
        <f t="shared" si="108"/>
        <v>0.12021860531546985</v>
      </c>
      <c r="BL88" s="45">
        <f t="shared" si="109"/>
        <v>-2.1184434825408114</v>
      </c>
      <c r="BM88" s="45">
        <f t="shared" si="69"/>
        <v>42368.869650816225</v>
      </c>
      <c r="BN88" s="45">
        <f t="shared" si="70"/>
        <v>400000000</v>
      </c>
      <c r="BO88" s="45">
        <f t="shared" si="110"/>
        <v>4.487802788719641</v>
      </c>
      <c r="BP88" s="45"/>
      <c r="BQ88" s="45"/>
      <c r="BR88" s="50" t="str">
        <f>IF(B29="","",F88)</f>
        <v/>
      </c>
      <c r="BS88" s="50" t="str">
        <f>IF(B29="","",BJ88)</f>
        <v/>
      </c>
      <c r="BT88" s="50" t="str">
        <f t="shared" si="111"/>
        <v/>
      </c>
      <c r="BU88" s="50" t="str">
        <f t="shared" si="112"/>
        <v/>
      </c>
      <c r="BV88" s="50" t="str">
        <f t="shared" si="71"/>
        <v/>
      </c>
      <c r="BW88" s="50" t="str">
        <f t="shared" si="72"/>
        <v/>
      </c>
      <c r="BX88" s="50" t="str">
        <f t="shared" si="113"/>
        <v/>
      </c>
      <c r="BY88" s="45"/>
      <c r="BZ88" s="72"/>
      <c r="CA88" s="72"/>
      <c r="CB88" s="72"/>
      <c r="CC88" s="72"/>
      <c r="CD88" s="72"/>
      <c r="CE88" s="72"/>
      <c r="CF88" s="72"/>
      <c r="CG88" s="72"/>
      <c r="CH88" s="72"/>
      <c r="CI88" s="72"/>
      <c r="CJ88" s="72"/>
      <c r="CK88" s="70"/>
      <c r="CL88" s="70"/>
    </row>
    <row r="89" spans="1:90" x14ac:dyDescent="0.3">
      <c r="A89" s="48">
        <f>'EINGABEN EINZELWERTE'!E6</f>
        <v>0</v>
      </c>
      <c r="B89" s="45" t="str">
        <f t="shared" si="114"/>
        <v/>
      </c>
      <c r="C89" s="48">
        <f>IF((B89=""),MAX(B9:B108),B89)</f>
        <v>20000</v>
      </c>
      <c r="D89" s="45">
        <f>SMALL(C9:C108,81)</f>
        <v>20000</v>
      </c>
      <c r="E89" s="45">
        <f>LARGE(C9:C108,81)</f>
        <v>20000</v>
      </c>
      <c r="F89" s="49">
        <f>IF(Q6=1,D89,-E89)</f>
        <v>-20000</v>
      </c>
      <c r="G89" s="49">
        <f t="shared" si="62"/>
        <v>0.11251763361691523</v>
      </c>
      <c r="H89" s="49">
        <f t="shared" si="73"/>
        <v>0.10731709395383104</v>
      </c>
      <c r="I89" s="45"/>
      <c r="J89" s="45">
        <f>IF(Q6=1,D89,D89)</f>
        <v>20000</v>
      </c>
      <c r="K89" s="45">
        <f t="shared" si="74"/>
        <v>0.88748236638308475</v>
      </c>
      <c r="L89" s="45">
        <f t="shared" si="75"/>
        <v>0.89268290604616896</v>
      </c>
      <c r="M89" s="45">
        <f t="shared" si="63"/>
        <v>0.69871771847211805</v>
      </c>
      <c r="N89" s="48"/>
      <c r="O89" s="68"/>
      <c r="P89" s="67"/>
      <c r="Q89" s="68"/>
      <c r="R89" s="68"/>
      <c r="S89" s="45">
        <f t="shared" si="64"/>
        <v>1</v>
      </c>
      <c r="T89" s="45">
        <f t="shared" si="65"/>
        <v>1</v>
      </c>
      <c r="U89" s="48">
        <f t="shared" si="76"/>
        <v>1.0000000822403709E-9</v>
      </c>
      <c r="V89" s="48">
        <f t="shared" si="77"/>
        <v>1.0000000822403709E-9</v>
      </c>
      <c r="W89" s="45">
        <f t="shared" si="78"/>
        <v>1.0000001644807486E-18</v>
      </c>
      <c r="X89" s="45">
        <f t="shared" si="79"/>
        <v>1.0000001644807486E-18</v>
      </c>
      <c r="Y89" s="45">
        <f t="shared" si="80"/>
        <v>1.0000001644807486E-18</v>
      </c>
      <c r="Z89" s="45"/>
      <c r="AA89" s="45">
        <f t="shared" si="66"/>
        <v>1</v>
      </c>
      <c r="AB89" s="45">
        <f t="shared" si="81"/>
        <v>1</v>
      </c>
      <c r="AC89" s="45">
        <f t="shared" si="82"/>
        <v>1.0000000822403709E-9</v>
      </c>
      <c r="AD89" s="45">
        <f t="shared" si="83"/>
        <v>1.0000000822403709E-9</v>
      </c>
      <c r="AE89" s="45">
        <f t="shared" si="84"/>
        <v>1.0000001644807486E-18</v>
      </c>
      <c r="AF89" s="45">
        <f t="shared" si="85"/>
        <v>1.0000001644807486E-18</v>
      </c>
      <c r="AG89" s="45">
        <f t="shared" si="86"/>
        <v>1.0000001644807486E-18</v>
      </c>
      <c r="AH89" s="45"/>
      <c r="AI89" s="45">
        <f t="shared" si="87"/>
        <v>1</v>
      </c>
      <c r="AJ89" s="45">
        <f t="shared" si="88"/>
        <v>1</v>
      </c>
      <c r="AK89" s="45">
        <f t="shared" si="89"/>
        <v>1.0000000822403709E-9</v>
      </c>
      <c r="AL89" s="45">
        <f t="shared" si="90"/>
        <v>1.0000000822403709E-9</v>
      </c>
      <c r="AM89" s="45">
        <f t="shared" si="91"/>
        <v>1.0000001644807486E-18</v>
      </c>
      <c r="AN89" s="45">
        <f t="shared" si="92"/>
        <v>1.0000001644807486E-18</v>
      </c>
      <c r="AO89" s="45">
        <f t="shared" si="93"/>
        <v>1.0000001644807486E-18</v>
      </c>
      <c r="AP89" s="45"/>
      <c r="AQ89" s="45">
        <f t="shared" si="94"/>
        <v>1</v>
      </c>
      <c r="AR89" s="45">
        <f t="shared" si="95"/>
        <v>1</v>
      </c>
      <c r="AS89" s="45">
        <f t="shared" si="96"/>
        <v>1.0000000822403709E-9</v>
      </c>
      <c r="AT89" s="45">
        <f t="shared" si="97"/>
        <v>1.0000000822403709E-9</v>
      </c>
      <c r="AU89" s="45">
        <f t="shared" si="98"/>
        <v>1.0000001644807486E-18</v>
      </c>
      <c r="AV89" s="45">
        <f t="shared" si="99"/>
        <v>1.0000001644807486E-18</v>
      </c>
      <c r="AW89" s="45">
        <f t="shared" si="100"/>
        <v>1.0000001644807486E-18</v>
      </c>
      <c r="AX89" s="45"/>
      <c r="AY89" s="45"/>
      <c r="AZ89" s="45"/>
      <c r="BA89" s="45" t="str">
        <f t="shared" si="101"/>
        <v/>
      </c>
      <c r="BB89" s="45" t="str">
        <f t="shared" si="102"/>
        <v/>
      </c>
      <c r="BC89" s="45" t="str">
        <f t="shared" si="103"/>
        <v/>
      </c>
      <c r="BD89" s="45" t="str">
        <f t="shared" si="104"/>
        <v/>
      </c>
      <c r="BE89" s="45" t="str">
        <f t="shared" si="67"/>
        <v/>
      </c>
      <c r="BF89" s="45" t="str">
        <f t="shared" si="68"/>
        <v/>
      </c>
      <c r="BG89" s="45" t="str">
        <f t="shared" si="105"/>
        <v/>
      </c>
      <c r="BH89" s="45"/>
      <c r="BI89" s="45">
        <f t="shared" si="106"/>
        <v>-20000</v>
      </c>
      <c r="BJ89" s="45">
        <f t="shared" si="107"/>
        <v>0.10731709395383104</v>
      </c>
      <c r="BK89" s="45">
        <f t="shared" si="108"/>
        <v>0.12021860531546985</v>
      </c>
      <c r="BL89" s="45">
        <f t="shared" si="109"/>
        <v>-2.1184434825408114</v>
      </c>
      <c r="BM89" s="45">
        <f t="shared" si="69"/>
        <v>42368.869650816225</v>
      </c>
      <c r="BN89" s="45">
        <f t="shared" si="70"/>
        <v>400000000</v>
      </c>
      <c r="BO89" s="45">
        <f t="shared" si="110"/>
        <v>4.487802788719641</v>
      </c>
      <c r="BP89" s="45"/>
      <c r="BQ89" s="45"/>
      <c r="BR89" s="50" t="str">
        <f>IF(B28="","",F89)</f>
        <v/>
      </c>
      <c r="BS89" s="50" t="str">
        <f>IF(B28="","",BJ89)</f>
        <v/>
      </c>
      <c r="BT89" s="50" t="str">
        <f t="shared" si="111"/>
        <v/>
      </c>
      <c r="BU89" s="50" t="str">
        <f t="shared" si="112"/>
        <v/>
      </c>
      <c r="BV89" s="50" t="str">
        <f t="shared" si="71"/>
        <v/>
      </c>
      <c r="BW89" s="50" t="str">
        <f t="shared" si="72"/>
        <v/>
      </c>
      <c r="BX89" s="50" t="str">
        <f t="shared" si="113"/>
        <v/>
      </c>
      <c r="BY89" s="45"/>
      <c r="BZ89" s="72"/>
      <c r="CA89" s="72"/>
      <c r="CB89" s="72"/>
      <c r="CC89" s="72"/>
      <c r="CD89" s="72"/>
      <c r="CE89" s="72"/>
      <c r="CF89" s="72"/>
      <c r="CG89" s="72"/>
      <c r="CH89" s="72"/>
      <c r="CI89" s="72"/>
      <c r="CJ89" s="72"/>
      <c r="CK89" s="70"/>
      <c r="CL89" s="70"/>
    </row>
    <row r="90" spans="1:90" x14ac:dyDescent="0.3">
      <c r="A90" s="48">
        <f>'EINGABEN EINZELWERTE'!E7</f>
        <v>0</v>
      </c>
      <c r="B90" s="45" t="str">
        <f t="shared" si="114"/>
        <v/>
      </c>
      <c r="C90" s="48">
        <f>IF((B90=""),MAX(B9:B108),B90)</f>
        <v>20000</v>
      </c>
      <c r="D90" s="45">
        <f>SMALL(C9:C108,82)</f>
        <v>20000</v>
      </c>
      <c r="E90" s="45">
        <f>LARGE(C9:C108,82)</f>
        <v>20000</v>
      </c>
      <c r="F90" s="49">
        <f>IF(Q6=1,D90,-E90)</f>
        <v>-20000</v>
      </c>
      <c r="G90" s="49">
        <f t="shared" si="62"/>
        <v>0.11251763361691523</v>
      </c>
      <c r="H90" s="49">
        <f t="shared" si="73"/>
        <v>0.10731709395383104</v>
      </c>
      <c r="I90" s="45"/>
      <c r="J90" s="45">
        <f>IF(Q6=1,D90,D90)</f>
        <v>20000</v>
      </c>
      <c r="K90" s="45">
        <f t="shared" si="74"/>
        <v>0.88748236638308475</v>
      </c>
      <c r="L90" s="45">
        <f t="shared" si="75"/>
        <v>0.89268290604616896</v>
      </c>
      <c r="M90" s="45">
        <f t="shared" si="63"/>
        <v>0.69871771847211805</v>
      </c>
      <c r="N90" s="48"/>
      <c r="O90" s="68"/>
      <c r="P90" s="67"/>
      <c r="Q90" s="68"/>
      <c r="R90" s="68"/>
      <c r="S90" s="45">
        <f t="shared" si="64"/>
        <v>1</v>
      </c>
      <c r="T90" s="45">
        <f t="shared" si="65"/>
        <v>1</v>
      </c>
      <c r="U90" s="48">
        <f t="shared" si="76"/>
        <v>1.0000000822403709E-9</v>
      </c>
      <c r="V90" s="48">
        <f t="shared" si="77"/>
        <v>1.0000000822403709E-9</v>
      </c>
      <c r="W90" s="45">
        <f t="shared" si="78"/>
        <v>1.0000001644807486E-18</v>
      </c>
      <c r="X90" s="45">
        <f t="shared" si="79"/>
        <v>1.0000001644807486E-18</v>
      </c>
      <c r="Y90" s="45">
        <f t="shared" si="80"/>
        <v>1.0000001644807486E-18</v>
      </c>
      <c r="Z90" s="45"/>
      <c r="AA90" s="45">
        <f t="shared" si="66"/>
        <v>1</v>
      </c>
      <c r="AB90" s="45">
        <f t="shared" si="81"/>
        <v>1</v>
      </c>
      <c r="AC90" s="45">
        <f t="shared" si="82"/>
        <v>1.0000000822403709E-9</v>
      </c>
      <c r="AD90" s="45">
        <f t="shared" si="83"/>
        <v>1.0000000822403709E-9</v>
      </c>
      <c r="AE90" s="45">
        <f t="shared" si="84"/>
        <v>1.0000001644807486E-18</v>
      </c>
      <c r="AF90" s="45">
        <f t="shared" si="85"/>
        <v>1.0000001644807486E-18</v>
      </c>
      <c r="AG90" s="45">
        <f t="shared" si="86"/>
        <v>1.0000001644807486E-18</v>
      </c>
      <c r="AH90" s="45"/>
      <c r="AI90" s="45">
        <f t="shared" si="87"/>
        <v>1</v>
      </c>
      <c r="AJ90" s="45">
        <f t="shared" si="88"/>
        <v>1</v>
      </c>
      <c r="AK90" s="45">
        <f t="shared" si="89"/>
        <v>1.0000000822403709E-9</v>
      </c>
      <c r="AL90" s="45">
        <f t="shared" si="90"/>
        <v>1.0000000822403709E-9</v>
      </c>
      <c r="AM90" s="45">
        <f t="shared" si="91"/>
        <v>1.0000001644807486E-18</v>
      </c>
      <c r="AN90" s="45">
        <f t="shared" si="92"/>
        <v>1.0000001644807486E-18</v>
      </c>
      <c r="AO90" s="45">
        <f t="shared" si="93"/>
        <v>1.0000001644807486E-18</v>
      </c>
      <c r="AP90" s="45"/>
      <c r="AQ90" s="45">
        <f t="shared" si="94"/>
        <v>1</v>
      </c>
      <c r="AR90" s="45">
        <f t="shared" si="95"/>
        <v>1</v>
      </c>
      <c r="AS90" s="45">
        <f t="shared" si="96"/>
        <v>1.0000000822403709E-9</v>
      </c>
      <c r="AT90" s="45">
        <f t="shared" si="97"/>
        <v>1.0000000822403709E-9</v>
      </c>
      <c r="AU90" s="45">
        <f t="shared" si="98"/>
        <v>1.0000001644807486E-18</v>
      </c>
      <c r="AV90" s="45">
        <f t="shared" si="99"/>
        <v>1.0000001644807486E-18</v>
      </c>
      <c r="AW90" s="45">
        <f t="shared" si="100"/>
        <v>1.0000001644807486E-18</v>
      </c>
      <c r="AX90" s="45"/>
      <c r="AY90" s="45"/>
      <c r="AZ90" s="45"/>
      <c r="BA90" s="45" t="str">
        <f t="shared" si="101"/>
        <v/>
      </c>
      <c r="BB90" s="45" t="str">
        <f t="shared" si="102"/>
        <v/>
      </c>
      <c r="BC90" s="45" t="str">
        <f t="shared" si="103"/>
        <v/>
      </c>
      <c r="BD90" s="45" t="str">
        <f t="shared" si="104"/>
        <v/>
      </c>
      <c r="BE90" s="45" t="str">
        <f t="shared" si="67"/>
        <v/>
      </c>
      <c r="BF90" s="45" t="str">
        <f t="shared" si="68"/>
        <v/>
      </c>
      <c r="BG90" s="45" t="str">
        <f t="shared" si="105"/>
        <v/>
      </c>
      <c r="BH90" s="45"/>
      <c r="BI90" s="45">
        <f t="shared" si="106"/>
        <v>-20000</v>
      </c>
      <c r="BJ90" s="45">
        <f t="shared" si="107"/>
        <v>0.10731709395383104</v>
      </c>
      <c r="BK90" s="45">
        <f t="shared" si="108"/>
        <v>0.12021860531546985</v>
      </c>
      <c r="BL90" s="45">
        <f t="shared" si="109"/>
        <v>-2.1184434825408114</v>
      </c>
      <c r="BM90" s="45">
        <f t="shared" si="69"/>
        <v>42368.869650816225</v>
      </c>
      <c r="BN90" s="45">
        <f t="shared" si="70"/>
        <v>400000000</v>
      </c>
      <c r="BO90" s="45">
        <f t="shared" si="110"/>
        <v>4.487802788719641</v>
      </c>
      <c r="BP90" s="45"/>
      <c r="BQ90" s="45"/>
      <c r="BR90" s="50" t="str">
        <f>IF(B27="","",F90)</f>
        <v/>
      </c>
      <c r="BS90" s="50" t="str">
        <f>IF(B27="","",BJ90)</f>
        <v/>
      </c>
      <c r="BT90" s="50" t="str">
        <f t="shared" si="111"/>
        <v/>
      </c>
      <c r="BU90" s="50" t="str">
        <f t="shared" si="112"/>
        <v/>
      </c>
      <c r="BV90" s="50" t="str">
        <f t="shared" si="71"/>
        <v/>
      </c>
      <c r="BW90" s="50" t="str">
        <f t="shared" si="72"/>
        <v/>
      </c>
      <c r="BX90" s="50" t="str">
        <f t="shared" si="113"/>
        <v/>
      </c>
      <c r="BY90" s="45"/>
      <c r="BZ90" s="72"/>
      <c r="CA90" s="72"/>
      <c r="CB90" s="72"/>
      <c r="CC90" s="72"/>
      <c r="CD90" s="72"/>
      <c r="CE90" s="72"/>
      <c r="CF90" s="72"/>
      <c r="CG90" s="72"/>
      <c r="CH90" s="72"/>
      <c r="CI90" s="72"/>
      <c r="CJ90" s="72"/>
      <c r="CK90" s="70"/>
      <c r="CL90" s="70"/>
    </row>
    <row r="91" spans="1:90" x14ac:dyDescent="0.3">
      <c r="A91" s="48">
        <f>'EINGABEN EINZELWERTE'!E8</f>
        <v>0</v>
      </c>
      <c r="B91" s="45" t="str">
        <f t="shared" si="114"/>
        <v/>
      </c>
      <c r="C91" s="48">
        <f>IF((B91=""),MAX(B9:B108),B91)</f>
        <v>20000</v>
      </c>
      <c r="D91" s="45">
        <f>SMALL(C9:C108,83)</f>
        <v>20000</v>
      </c>
      <c r="E91" s="45">
        <f>LARGE(C9:C108,83)</f>
        <v>20000</v>
      </c>
      <c r="F91" s="49">
        <f>IF(Q6=1,D91,-E91)</f>
        <v>-20000</v>
      </c>
      <c r="G91" s="49">
        <f t="shared" si="62"/>
        <v>0.11251763361691523</v>
      </c>
      <c r="H91" s="49">
        <f t="shared" si="73"/>
        <v>0.10731709395383104</v>
      </c>
      <c r="I91" s="45"/>
      <c r="J91" s="45">
        <f>IF(Q6=1,D91,D91)</f>
        <v>20000</v>
      </c>
      <c r="K91" s="45">
        <f t="shared" si="74"/>
        <v>0.88748236638308475</v>
      </c>
      <c r="L91" s="45">
        <f t="shared" si="75"/>
        <v>0.89268290604616896</v>
      </c>
      <c r="M91" s="45">
        <f t="shared" si="63"/>
        <v>0.69871771847211805</v>
      </c>
      <c r="N91" s="48"/>
      <c r="O91" s="68"/>
      <c r="P91" s="67"/>
      <c r="Q91" s="68"/>
      <c r="R91" s="68"/>
      <c r="S91" s="45">
        <f t="shared" si="64"/>
        <v>1</v>
      </c>
      <c r="T91" s="45">
        <f t="shared" si="65"/>
        <v>1</v>
      </c>
      <c r="U91" s="48">
        <f t="shared" si="76"/>
        <v>1.0000000822403709E-9</v>
      </c>
      <c r="V91" s="48">
        <f t="shared" si="77"/>
        <v>1.0000000822403709E-9</v>
      </c>
      <c r="W91" s="45">
        <f t="shared" si="78"/>
        <v>1.0000001644807486E-18</v>
      </c>
      <c r="X91" s="45">
        <f t="shared" si="79"/>
        <v>1.0000001644807486E-18</v>
      </c>
      <c r="Y91" s="45">
        <f t="shared" si="80"/>
        <v>1.0000001644807486E-18</v>
      </c>
      <c r="Z91" s="45"/>
      <c r="AA91" s="45">
        <f t="shared" si="66"/>
        <v>1</v>
      </c>
      <c r="AB91" s="45">
        <f t="shared" si="81"/>
        <v>1</v>
      </c>
      <c r="AC91" s="45">
        <f t="shared" si="82"/>
        <v>1.0000000822403709E-9</v>
      </c>
      <c r="AD91" s="45">
        <f t="shared" si="83"/>
        <v>1.0000000822403709E-9</v>
      </c>
      <c r="AE91" s="45">
        <f t="shared" si="84"/>
        <v>1.0000001644807486E-18</v>
      </c>
      <c r="AF91" s="45">
        <f t="shared" si="85"/>
        <v>1.0000001644807486E-18</v>
      </c>
      <c r="AG91" s="45">
        <f t="shared" si="86"/>
        <v>1.0000001644807486E-18</v>
      </c>
      <c r="AH91" s="45"/>
      <c r="AI91" s="45">
        <f t="shared" si="87"/>
        <v>1</v>
      </c>
      <c r="AJ91" s="45">
        <f t="shared" si="88"/>
        <v>1</v>
      </c>
      <c r="AK91" s="45">
        <f t="shared" si="89"/>
        <v>1.0000000822403709E-9</v>
      </c>
      <c r="AL91" s="45">
        <f t="shared" si="90"/>
        <v>1.0000000822403709E-9</v>
      </c>
      <c r="AM91" s="45">
        <f t="shared" si="91"/>
        <v>1.0000001644807486E-18</v>
      </c>
      <c r="AN91" s="45">
        <f t="shared" si="92"/>
        <v>1.0000001644807486E-18</v>
      </c>
      <c r="AO91" s="45">
        <f t="shared" si="93"/>
        <v>1.0000001644807486E-18</v>
      </c>
      <c r="AP91" s="45"/>
      <c r="AQ91" s="45">
        <f t="shared" si="94"/>
        <v>1</v>
      </c>
      <c r="AR91" s="45">
        <f t="shared" si="95"/>
        <v>1</v>
      </c>
      <c r="AS91" s="45">
        <f t="shared" si="96"/>
        <v>1.0000000822403709E-9</v>
      </c>
      <c r="AT91" s="45">
        <f t="shared" si="97"/>
        <v>1.0000000822403709E-9</v>
      </c>
      <c r="AU91" s="45">
        <f t="shared" si="98"/>
        <v>1.0000001644807486E-18</v>
      </c>
      <c r="AV91" s="45">
        <f t="shared" si="99"/>
        <v>1.0000001644807486E-18</v>
      </c>
      <c r="AW91" s="45">
        <f t="shared" si="100"/>
        <v>1.0000001644807486E-18</v>
      </c>
      <c r="AX91" s="45"/>
      <c r="AY91" s="45"/>
      <c r="AZ91" s="45"/>
      <c r="BA91" s="45" t="str">
        <f t="shared" si="101"/>
        <v/>
      </c>
      <c r="BB91" s="45" t="str">
        <f t="shared" si="102"/>
        <v/>
      </c>
      <c r="BC91" s="45" t="str">
        <f t="shared" si="103"/>
        <v/>
      </c>
      <c r="BD91" s="45" t="str">
        <f t="shared" si="104"/>
        <v/>
      </c>
      <c r="BE91" s="45" t="str">
        <f t="shared" si="67"/>
        <v/>
      </c>
      <c r="BF91" s="45" t="str">
        <f t="shared" si="68"/>
        <v/>
      </c>
      <c r="BG91" s="45" t="str">
        <f t="shared" si="105"/>
        <v/>
      </c>
      <c r="BH91" s="45"/>
      <c r="BI91" s="45">
        <f t="shared" si="106"/>
        <v>-20000</v>
      </c>
      <c r="BJ91" s="45">
        <f t="shared" si="107"/>
        <v>0.10731709395383104</v>
      </c>
      <c r="BK91" s="45">
        <f t="shared" si="108"/>
        <v>0.12021860531546985</v>
      </c>
      <c r="BL91" s="45">
        <f t="shared" si="109"/>
        <v>-2.1184434825408114</v>
      </c>
      <c r="BM91" s="45">
        <f t="shared" si="69"/>
        <v>42368.869650816225</v>
      </c>
      <c r="BN91" s="45">
        <f t="shared" si="70"/>
        <v>400000000</v>
      </c>
      <c r="BO91" s="45">
        <f t="shared" si="110"/>
        <v>4.487802788719641</v>
      </c>
      <c r="BP91" s="45"/>
      <c r="BQ91" s="45"/>
      <c r="BR91" s="50" t="str">
        <f>IF(B26="","",F91)</f>
        <v/>
      </c>
      <c r="BS91" s="50" t="str">
        <f>IF(B26="","",BJ91)</f>
        <v/>
      </c>
      <c r="BT91" s="50" t="str">
        <f t="shared" si="111"/>
        <v/>
      </c>
      <c r="BU91" s="50" t="str">
        <f t="shared" si="112"/>
        <v/>
      </c>
      <c r="BV91" s="50" t="str">
        <f t="shared" si="71"/>
        <v/>
      </c>
      <c r="BW91" s="50" t="str">
        <f t="shared" si="72"/>
        <v/>
      </c>
      <c r="BX91" s="50" t="str">
        <f t="shared" si="113"/>
        <v/>
      </c>
      <c r="BY91" s="45"/>
      <c r="BZ91" s="72"/>
      <c r="CA91" s="72"/>
      <c r="CB91" s="72"/>
      <c r="CC91" s="72"/>
      <c r="CD91" s="72"/>
      <c r="CE91" s="72"/>
      <c r="CF91" s="72"/>
      <c r="CG91" s="72"/>
      <c r="CH91" s="72"/>
      <c r="CI91" s="72"/>
      <c r="CJ91" s="72"/>
      <c r="CK91" s="70"/>
      <c r="CL91" s="70"/>
    </row>
    <row r="92" spans="1:90" x14ac:dyDescent="0.3">
      <c r="A92" s="48">
        <f>'EINGABEN EINZELWERTE'!E9</f>
        <v>0</v>
      </c>
      <c r="B92" s="45" t="str">
        <f t="shared" si="114"/>
        <v/>
      </c>
      <c r="C92" s="48">
        <f>IF((B92=""),MAX(B9:B108),B92)</f>
        <v>20000</v>
      </c>
      <c r="D92" s="45">
        <f>SMALL(C9:C108,84)</f>
        <v>20000</v>
      </c>
      <c r="E92" s="45">
        <f>LARGE(C9:C108,84)</f>
        <v>20000</v>
      </c>
      <c r="F92" s="49">
        <f>IF(Q6=1,D92,-E92)</f>
        <v>-20000</v>
      </c>
      <c r="G92" s="49">
        <f t="shared" si="62"/>
        <v>0.11251763361691523</v>
      </c>
      <c r="H92" s="49">
        <f t="shared" si="73"/>
        <v>0.10731709395383104</v>
      </c>
      <c r="I92" s="45"/>
      <c r="J92" s="45">
        <f>IF(Q6=1,D92,D92)</f>
        <v>20000</v>
      </c>
      <c r="K92" s="45">
        <f t="shared" si="74"/>
        <v>0.88748236638308475</v>
      </c>
      <c r="L92" s="45">
        <f t="shared" si="75"/>
        <v>0.89268290604616896</v>
      </c>
      <c r="M92" s="45">
        <f t="shared" si="63"/>
        <v>0.69871771847211805</v>
      </c>
      <c r="N92" s="45"/>
      <c r="O92" s="68"/>
      <c r="P92" s="67"/>
      <c r="Q92" s="68"/>
      <c r="R92" s="68"/>
      <c r="S92" s="45">
        <f t="shared" si="64"/>
        <v>1</v>
      </c>
      <c r="T92" s="45">
        <f t="shared" si="65"/>
        <v>1</v>
      </c>
      <c r="U92" s="48">
        <f t="shared" si="76"/>
        <v>1.0000000822403709E-9</v>
      </c>
      <c r="V92" s="48">
        <f t="shared" si="77"/>
        <v>1.0000000822403709E-9</v>
      </c>
      <c r="W92" s="45">
        <f t="shared" si="78"/>
        <v>1.0000001644807486E-18</v>
      </c>
      <c r="X92" s="45">
        <f t="shared" si="79"/>
        <v>1.0000001644807486E-18</v>
      </c>
      <c r="Y92" s="45">
        <f t="shared" si="80"/>
        <v>1.0000001644807486E-18</v>
      </c>
      <c r="Z92" s="45"/>
      <c r="AA92" s="45">
        <f t="shared" si="66"/>
        <v>1</v>
      </c>
      <c r="AB92" s="45">
        <f t="shared" si="81"/>
        <v>1</v>
      </c>
      <c r="AC92" s="45">
        <f t="shared" si="82"/>
        <v>1.0000000822403709E-9</v>
      </c>
      <c r="AD92" s="45">
        <f t="shared" si="83"/>
        <v>1.0000000822403709E-9</v>
      </c>
      <c r="AE92" s="45">
        <f t="shared" si="84"/>
        <v>1.0000001644807486E-18</v>
      </c>
      <c r="AF92" s="45">
        <f t="shared" si="85"/>
        <v>1.0000001644807486E-18</v>
      </c>
      <c r="AG92" s="45">
        <f t="shared" si="86"/>
        <v>1.0000001644807486E-18</v>
      </c>
      <c r="AH92" s="45"/>
      <c r="AI92" s="45">
        <f t="shared" si="87"/>
        <v>1</v>
      </c>
      <c r="AJ92" s="45">
        <f t="shared" si="88"/>
        <v>1</v>
      </c>
      <c r="AK92" s="45">
        <f t="shared" si="89"/>
        <v>1.0000000822403709E-9</v>
      </c>
      <c r="AL92" s="45">
        <f t="shared" si="90"/>
        <v>1.0000000822403709E-9</v>
      </c>
      <c r="AM92" s="45">
        <f t="shared" si="91"/>
        <v>1.0000001644807486E-18</v>
      </c>
      <c r="AN92" s="45">
        <f t="shared" si="92"/>
        <v>1.0000001644807486E-18</v>
      </c>
      <c r="AO92" s="45">
        <f t="shared" si="93"/>
        <v>1.0000001644807486E-18</v>
      </c>
      <c r="AP92" s="45"/>
      <c r="AQ92" s="45">
        <f t="shared" si="94"/>
        <v>1</v>
      </c>
      <c r="AR92" s="45">
        <f t="shared" si="95"/>
        <v>1</v>
      </c>
      <c r="AS92" s="45">
        <f t="shared" si="96"/>
        <v>1.0000000822403709E-9</v>
      </c>
      <c r="AT92" s="45">
        <f t="shared" si="97"/>
        <v>1.0000000822403709E-9</v>
      </c>
      <c r="AU92" s="45">
        <f t="shared" si="98"/>
        <v>1.0000001644807486E-18</v>
      </c>
      <c r="AV92" s="45">
        <f t="shared" si="99"/>
        <v>1.0000001644807486E-18</v>
      </c>
      <c r="AW92" s="45">
        <f t="shared" si="100"/>
        <v>1.0000001644807486E-18</v>
      </c>
      <c r="AX92" s="45"/>
      <c r="AY92" s="45"/>
      <c r="AZ92" s="45"/>
      <c r="BA92" s="45" t="str">
        <f t="shared" si="101"/>
        <v/>
      </c>
      <c r="BB92" s="45" t="str">
        <f t="shared" si="102"/>
        <v/>
      </c>
      <c r="BC92" s="45" t="str">
        <f t="shared" si="103"/>
        <v/>
      </c>
      <c r="BD92" s="45" t="str">
        <f t="shared" si="104"/>
        <v/>
      </c>
      <c r="BE92" s="45" t="str">
        <f t="shared" si="67"/>
        <v/>
      </c>
      <c r="BF92" s="45" t="str">
        <f t="shared" si="68"/>
        <v/>
      </c>
      <c r="BG92" s="45" t="str">
        <f t="shared" si="105"/>
        <v/>
      </c>
      <c r="BH92" s="45"/>
      <c r="BI92" s="45">
        <f t="shared" si="106"/>
        <v>-20000</v>
      </c>
      <c r="BJ92" s="45">
        <f t="shared" si="107"/>
        <v>0.10731709395383104</v>
      </c>
      <c r="BK92" s="45">
        <f t="shared" si="108"/>
        <v>0.12021860531546985</v>
      </c>
      <c r="BL92" s="45">
        <f t="shared" si="109"/>
        <v>-2.1184434825408114</v>
      </c>
      <c r="BM92" s="45">
        <f t="shared" si="69"/>
        <v>42368.869650816225</v>
      </c>
      <c r="BN92" s="45">
        <f t="shared" si="70"/>
        <v>400000000</v>
      </c>
      <c r="BO92" s="45">
        <f t="shared" si="110"/>
        <v>4.487802788719641</v>
      </c>
      <c r="BP92" s="45"/>
      <c r="BQ92" s="45"/>
      <c r="BR92" s="50" t="str">
        <f>IF(B25="","",F92)</f>
        <v/>
      </c>
      <c r="BS92" s="50" t="str">
        <f>IF(B25="","",BJ92)</f>
        <v/>
      </c>
      <c r="BT92" s="50" t="str">
        <f t="shared" si="111"/>
        <v/>
      </c>
      <c r="BU92" s="50" t="str">
        <f t="shared" si="112"/>
        <v/>
      </c>
      <c r="BV92" s="50" t="str">
        <f t="shared" si="71"/>
        <v/>
      </c>
      <c r="BW92" s="50" t="str">
        <f t="shared" si="72"/>
        <v/>
      </c>
      <c r="BX92" s="50" t="str">
        <f t="shared" si="113"/>
        <v/>
      </c>
      <c r="BY92" s="45"/>
      <c r="BZ92" s="72"/>
      <c r="CA92" s="72"/>
      <c r="CB92" s="72"/>
      <c r="CC92" s="72"/>
      <c r="CD92" s="72"/>
      <c r="CE92" s="72"/>
      <c r="CF92" s="72"/>
      <c r="CG92" s="72"/>
      <c r="CH92" s="72"/>
      <c r="CI92" s="72"/>
      <c r="CJ92" s="72"/>
      <c r="CK92" s="70"/>
      <c r="CL92" s="70"/>
    </row>
    <row r="93" spans="1:90" x14ac:dyDescent="0.3">
      <c r="A93" s="48">
        <f>'EINGABEN EINZELWERTE'!E10</f>
        <v>0</v>
      </c>
      <c r="B93" s="45" t="str">
        <f t="shared" si="114"/>
        <v/>
      </c>
      <c r="C93" s="48">
        <f>IF((B93=""),MAX(B9:B108),B93)</f>
        <v>20000</v>
      </c>
      <c r="D93" s="45">
        <f>SMALL(C9:C108,85)</f>
        <v>20000</v>
      </c>
      <c r="E93" s="45">
        <f>LARGE(C9:C108,85)</f>
        <v>20000</v>
      </c>
      <c r="F93" s="49">
        <f>IF(Q6=1,D93,-E93)</f>
        <v>-20000</v>
      </c>
      <c r="G93" s="49">
        <f t="shared" si="62"/>
        <v>0.11251763361691523</v>
      </c>
      <c r="H93" s="49">
        <f t="shared" si="73"/>
        <v>0.10731709395383104</v>
      </c>
      <c r="I93" s="45"/>
      <c r="J93" s="45">
        <f>IF(Q6=1,D93,D93)</f>
        <v>20000</v>
      </c>
      <c r="K93" s="45">
        <f t="shared" si="74"/>
        <v>0.88748236638308475</v>
      </c>
      <c r="L93" s="45">
        <f t="shared" si="75"/>
        <v>0.89268290604616896</v>
      </c>
      <c r="M93" s="45">
        <f t="shared" si="63"/>
        <v>0.69871771847211805</v>
      </c>
      <c r="N93" s="48"/>
      <c r="O93" s="68"/>
      <c r="P93" s="67"/>
      <c r="Q93" s="68"/>
      <c r="R93" s="68"/>
      <c r="S93" s="45">
        <f t="shared" si="64"/>
        <v>1</v>
      </c>
      <c r="T93" s="45">
        <f t="shared" si="65"/>
        <v>1</v>
      </c>
      <c r="U93" s="48">
        <f t="shared" si="76"/>
        <v>1.0000000822403709E-9</v>
      </c>
      <c r="V93" s="48">
        <f t="shared" si="77"/>
        <v>1.0000000822403709E-9</v>
      </c>
      <c r="W93" s="45">
        <f t="shared" si="78"/>
        <v>1.0000001644807486E-18</v>
      </c>
      <c r="X93" s="45">
        <f t="shared" si="79"/>
        <v>1.0000001644807486E-18</v>
      </c>
      <c r="Y93" s="45">
        <f t="shared" si="80"/>
        <v>1.0000001644807486E-18</v>
      </c>
      <c r="Z93" s="45"/>
      <c r="AA93" s="45">
        <f t="shared" si="66"/>
        <v>1</v>
      </c>
      <c r="AB93" s="45">
        <f t="shared" si="81"/>
        <v>1</v>
      </c>
      <c r="AC93" s="45">
        <f t="shared" si="82"/>
        <v>1.0000000822403709E-9</v>
      </c>
      <c r="AD93" s="45">
        <f t="shared" si="83"/>
        <v>1.0000000822403709E-9</v>
      </c>
      <c r="AE93" s="45">
        <f t="shared" si="84"/>
        <v>1.0000001644807486E-18</v>
      </c>
      <c r="AF93" s="45">
        <f t="shared" si="85"/>
        <v>1.0000001644807486E-18</v>
      </c>
      <c r="AG93" s="45">
        <f t="shared" si="86"/>
        <v>1.0000001644807486E-18</v>
      </c>
      <c r="AH93" s="45"/>
      <c r="AI93" s="45">
        <f t="shared" si="87"/>
        <v>1</v>
      </c>
      <c r="AJ93" s="45">
        <f t="shared" si="88"/>
        <v>1</v>
      </c>
      <c r="AK93" s="45">
        <f t="shared" si="89"/>
        <v>1.0000000822403709E-9</v>
      </c>
      <c r="AL93" s="45">
        <f t="shared" si="90"/>
        <v>1.0000000822403709E-9</v>
      </c>
      <c r="AM93" s="45">
        <f t="shared" si="91"/>
        <v>1.0000001644807486E-18</v>
      </c>
      <c r="AN93" s="45">
        <f t="shared" si="92"/>
        <v>1.0000001644807486E-18</v>
      </c>
      <c r="AO93" s="45">
        <f t="shared" si="93"/>
        <v>1.0000001644807486E-18</v>
      </c>
      <c r="AP93" s="45"/>
      <c r="AQ93" s="45">
        <f t="shared" si="94"/>
        <v>1</v>
      </c>
      <c r="AR93" s="45">
        <f t="shared" si="95"/>
        <v>1</v>
      </c>
      <c r="AS93" s="45">
        <f t="shared" si="96"/>
        <v>1.0000000822403709E-9</v>
      </c>
      <c r="AT93" s="45">
        <f t="shared" si="97"/>
        <v>1.0000000822403709E-9</v>
      </c>
      <c r="AU93" s="45">
        <f t="shared" si="98"/>
        <v>1.0000001644807486E-18</v>
      </c>
      <c r="AV93" s="45">
        <f t="shared" si="99"/>
        <v>1.0000001644807486E-18</v>
      </c>
      <c r="AW93" s="45">
        <f t="shared" si="100"/>
        <v>1.0000001644807486E-18</v>
      </c>
      <c r="AX93" s="45"/>
      <c r="AY93" s="45"/>
      <c r="AZ93" s="45"/>
      <c r="BA93" s="45" t="str">
        <f t="shared" si="101"/>
        <v/>
      </c>
      <c r="BB93" s="45" t="str">
        <f t="shared" si="102"/>
        <v/>
      </c>
      <c r="BC93" s="45" t="str">
        <f t="shared" si="103"/>
        <v/>
      </c>
      <c r="BD93" s="45" t="str">
        <f t="shared" si="104"/>
        <v/>
      </c>
      <c r="BE93" s="45" t="str">
        <f t="shared" si="67"/>
        <v/>
      </c>
      <c r="BF93" s="45" t="str">
        <f t="shared" si="68"/>
        <v/>
      </c>
      <c r="BG93" s="45" t="str">
        <f t="shared" si="105"/>
        <v/>
      </c>
      <c r="BH93" s="45"/>
      <c r="BI93" s="45">
        <f t="shared" si="106"/>
        <v>-20000</v>
      </c>
      <c r="BJ93" s="45">
        <f t="shared" si="107"/>
        <v>0.10731709395383104</v>
      </c>
      <c r="BK93" s="45">
        <f t="shared" si="108"/>
        <v>0.12021860531546985</v>
      </c>
      <c r="BL93" s="45">
        <f t="shared" si="109"/>
        <v>-2.1184434825408114</v>
      </c>
      <c r="BM93" s="45">
        <f t="shared" si="69"/>
        <v>42368.869650816225</v>
      </c>
      <c r="BN93" s="45">
        <f t="shared" si="70"/>
        <v>400000000</v>
      </c>
      <c r="BO93" s="45">
        <f t="shared" si="110"/>
        <v>4.487802788719641</v>
      </c>
      <c r="BP93" s="45"/>
      <c r="BQ93" s="45"/>
      <c r="BR93" s="50" t="str">
        <f>IF(B24="","",F93)</f>
        <v/>
      </c>
      <c r="BS93" s="50" t="str">
        <f>IF(B26="","",BJ93)</f>
        <v/>
      </c>
      <c r="BT93" s="50" t="str">
        <f t="shared" si="111"/>
        <v/>
      </c>
      <c r="BU93" s="50" t="str">
        <f t="shared" si="112"/>
        <v/>
      </c>
      <c r="BV93" s="50" t="str">
        <f t="shared" si="71"/>
        <v/>
      </c>
      <c r="BW93" s="50" t="str">
        <f t="shared" si="72"/>
        <v/>
      </c>
      <c r="BX93" s="50" t="str">
        <f t="shared" si="113"/>
        <v/>
      </c>
      <c r="BY93" s="45"/>
      <c r="BZ93" s="72"/>
      <c r="CA93" s="72"/>
      <c r="CB93" s="72"/>
      <c r="CC93" s="72"/>
      <c r="CD93" s="72"/>
      <c r="CE93" s="72"/>
      <c r="CF93" s="72"/>
      <c r="CG93" s="72"/>
      <c r="CH93" s="72"/>
      <c r="CI93" s="72"/>
      <c r="CJ93" s="72"/>
      <c r="CK93" s="70"/>
      <c r="CL93" s="70"/>
    </row>
    <row r="94" spans="1:90" x14ac:dyDescent="0.3">
      <c r="A94" s="48">
        <f>'EINGABEN EINZELWERTE'!E11</f>
        <v>0</v>
      </c>
      <c r="B94" s="45" t="str">
        <f t="shared" si="114"/>
        <v/>
      </c>
      <c r="C94" s="48">
        <f>IF((B94=""),MAX(B9:B108),B94)</f>
        <v>20000</v>
      </c>
      <c r="D94" s="45">
        <f>SMALL(C9:C108,86)</f>
        <v>20000</v>
      </c>
      <c r="E94" s="45">
        <f>LARGE(C9:C108,86)</f>
        <v>20000</v>
      </c>
      <c r="F94" s="49">
        <f>IF(Q6=1,D94,-E94)</f>
        <v>-20000</v>
      </c>
      <c r="G94" s="49">
        <f t="shared" si="62"/>
        <v>0.11251763361691523</v>
      </c>
      <c r="H94" s="49">
        <f t="shared" si="73"/>
        <v>0.10731709395383104</v>
      </c>
      <c r="I94" s="45"/>
      <c r="J94" s="45">
        <f>IF(Q6=1,D94,D94)</f>
        <v>20000</v>
      </c>
      <c r="K94" s="45">
        <f t="shared" si="74"/>
        <v>0.88748236638308475</v>
      </c>
      <c r="L94" s="45">
        <f t="shared" si="75"/>
        <v>0.89268290604616896</v>
      </c>
      <c r="M94" s="45">
        <f t="shared" si="63"/>
        <v>0.69871771847211805</v>
      </c>
      <c r="N94" s="48"/>
      <c r="O94" s="68"/>
      <c r="P94" s="67"/>
      <c r="Q94" s="68"/>
      <c r="R94" s="68"/>
      <c r="S94" s="45">
        <f t="shared" si="64"/>
        <v>1</v>
      </c>
      <c r="T94" s="45">
        <f t="shared" si="65"/>
        <v>1</v>
      </c>
      <c r="U94" s="48">
        <f t="shared" si="76"/>
        <v>1.0000000822403709E-9</v>
      </c>
      <c r="V94" s="48">
        <f t="shared" si="77"/>
        <v>1.0000000822403709E-9</v>
      </c>
      <c r="W94" s="45">
        <f t="shared" si="78"/>
        <v>1.0000001644807486E-18</v>
      </c>
      <c r="X94" s="45">
        <f t="shared" si="79"/>
        <v>1.0000001644807486E-18</v>
      </c>
      <c r="Y94" s="45">
        <f t="shared" si="80"/>
        <v>1.0000001644807486E-18</v>
      </c>
      <c r="Z94" s="45"/>
      <c r="AA94" s="45">
        <f t="shared" si="66"/>
        <v>1</v>
      </c>
      <c r="AB94" s="45">
        <f t="shared" si="81"/>
        <v>1</v>
      </c>
      <c r="AC94" s="45">
        <f t="shared" si="82"/>
        <v>1.0000000822403709E-9</v>
      </c>
      <c r="AD94" s="45">
        <f t="shared" si="83"/>
        <v>1.0000000822403709E-9</v>
      </c>
      <c r="AE94" s="45">
        <f t="shared" si="84"/>
        <v>1.0000001644807486E-18</v>
      </c>
      <c r="AF94" s="45">
        <f t="shared" si="85"/>
        <v>1.0000001644807486E-18</v>
      </c>
      <c r="AG94" s="45">
        <f t="shared" si="86"/>
        <v>1.0000001644807486E-18</v>
      </c>
      <c r="AH94" s="45"/>
      <c r="AI94" s="45">
        <f t="shared" si="87"/>
        <v>1</v>
      </c>
      <c r="AJ94" s="45">
        <f t="shared" si="88"/>
        <v>1</v>
      </c>
      <c r="AK94" s="45">
        <f t="shared" si="89"/>
        <v>1.0000000822403709E-9</v>
      </c>
      <c r="AL94" s="45">
        <f t="shared" si="90"/>
        <v>1.0000000822403709E-9</v>
      </c>
      <c r="AM94" s="45">
        <f t="shared" si="91"/>
        <v>1.0000001644807486E-18</v>
      </c>
      <c r="AN94" s="45">
        <f t="shared" si="92"/>
        <v>1.0000001644807486E-18</v>
      </c>
      <c r="AO94" s="45">
        <f t="shared" si="93"/>
        <v>1.0000001644807486E-18</v>
      </c>
      <c r="AP94" s="45"/>
      <c r="AQ94" s="45">
        <f t="shared" si="94"/>
        <v>1</v>
      </c>
      <c r="AR94" s="45">
        <f t="shared" si="95"/>
        <v>1</v>
      </c>
      <c r="AS94" s="45">
        <f t="shared" si="96"/>
        <v>1.0000000822403709E-9</v>
      </c>
      <c r="AT94" s="45">
        <f t="shared" si="97"/>
        <v>1.0000000822403709E-9</v>
      </c>
      <c r="AU94" s="45">
        <f t="shared" si="98"/>
        <v>1.0000001644807486E-18</v>
      </c>
      <c r="AV94" s="45">
        <f t="shared" si="99"/>
        <v>1.0000001644807486E-18</v>
      </c>
      <c r="AW94" s="45">
        <f t="shared" si="100"/>
        <v>1.0000001644807486E-18</v>
      </c>
      <c r="AX94" s="45"/>
      <c r="AY94" s="45"/>
      <c r="AZ94" s="45"/>
      <c r="BA94" s="45" t="str">
        <f t="shared" si="101"/>
        <v/>
      </c>
      <c r="BB94" s="45" t="str">
        <f t="shared" si="102"/>
        <v/>
      </c>
      <c r="BC94" s="45" t="str">
        <f t="shared" si="103"/>
        <v/>
      </c>
      <c r="BD94" s="45" t="str">
        <f t="shared" si="104"/>
        <v/>
      </c>
      <c r="BE94" s="45" t="str">
        <f t="shared" si="67"/>
        <v/>
      </c>
      <c r="BF94" s="45" t="str">
        <f t="shared" si="68"/>
        <v/>
      </c>
      <c r="BG94" s="45" t="str">
        <f t="shared" si="105"/>
        <v/>
      </c>
      <c r="BH94" s="45"/>
      <c r="BI94" s="45">
        <f t="shared" si="106"/>
        <v>-20000</v>
      </c>
      <c r="BJ94" s="45">
        <f t="shared" si="107"/>
        <v>0.10731709395383104</v>
      </c>
      <c r="BK94" s="45">
        <f t="shared" si="108"/>
        <v>0.12021860531546985</v>
      </c>
      <c r="BL94" s="45">
        <f t="shared" si="109"/>
        <v>-2.1184434825408114</v>
      </c>
      <c r="BM94" s="45">
        <f t="shared" si="69"/>
        <v>42368.869650816225</v>
      </c>
      <c r="BN94" s="45">
        <f t="shared" si="70"/>
        <v>400000000</v>
      </c>
      <c r="BO94" s="45">
        <f t="shared" si="110"/>
        <v>4.487802788719641</v>
      </c>
      <c r="BP94" s="45"/>
      <c r="BQ94" s="45"/>
      <c r="BR94" s="50" t="str">
        <f>IF(B23="","",F94)</f>
        <v/>
      </c>
      <c r="BS94" s="50" t="str">
        <f>IF(B23="","",BJ94)</f>
        <v/>
      </c>
      <c r="BT94" s="50" t="str">
        <f t="shared" si="111"/>
        <v/>
      </c>
      <c r="BU94" s="50" t="str">
        <f t="shared" si="112"/>
        <v/>
      </c>
      <c r="BV94" s="50" t="str">
        <f t="shared" si="71"/>
        <v/>
      </c>
      <c r="BW94" s="50" t="str">
        <f t="shared" si="72"/>
        <v/>
      </c>
      <c r="BX94" s="50" t="str">
        <f t="shared" si="113"/>
        <v/>
      </c>
      <c r="BY94" s="45"/>
      <c r="BZ94" s="72"/>
      <c r="CA94" s="72"/>
      <c r="CB94" s="72"/>
      <c r="CC94" s="72"/>
      <c r="CD94" s="72"/>
      <c r="CE94" s="72"/>
      <c r="CF94" s="72"/>
      <c r="CG94" s="72"/>
      <c r="CH94" s="72"/>
      <c r="CI94" s="72"/>
      <c r="CJ94" s="72"/>
      <c r="CK94" s="70"/>
      <c r="CL94" s="70"/>
    </row>
    <row r="95" spans="1:90" x14ac:dyDescent="0.3">
      <c r="A95" s="48">
        <f>'EINGABEN EINZELWERTE'!E12</f>
        <v>0</v>
      </c>
      <c r="B95" s="45" t="str">
        <f t="shared" si="114"/>
        <v/>
      </c>
      <c r="C95" s="48">
        <f>IF((B95=""),MAX(B9:B108),B95)</f>
        <v>20000</v>
      </c>
      <c r="D95" s="45">
        <f>SMALL(C9:C108,87)</f>
        <v>20000</v>
      </c>
      <c r="E95" s="45">
        <f>LARGE(C9:C108,87)</f>
        <v>20000</v>
      </c>
      <c r="F95" s="49">
        <f>IF(Q6=1,D95,-E95)</f>
        <v>-20000</v>
      </c>
      <c r="G95" s="49">
        <f t="shared" si="62"/>
        <v>0.11251763361691523</v>
      </c>
      <c r="H95" s="49">
        <f t="shared" si="73"/>
        <v>0.10731709395383104</v>
      </c>
      <c r="I95" s="45"/>
      <c r="J95" s="45">
        <f>IF(Q6=1,D95,D95)</f>
        <v>20000</v>
      </c>
      <c r="K95" s="45">
        <f t="shared" si="74"/>
        <v>0.88748236638308475</v>
      </c>
      <c r="L95" s="45">
        <f t="shared" si="75"/>
        <v>0.89268290604616896</v>
      </c>
      <c r="M95" s="45">
        <f t="shared" si="63"/>
        <v>0.69871771847211805</v>
      </c>
      <c r="N95" s="48"/>
      <c r="O95" s="68"/>
      <c r="P95" s="67"/>
      <c r="Q95" s="68"/>
      <c r="R95" s="68"/>
      <c r="S95" s="45">
        <f t="shared" si="64"/>
        <v>1</v>
      </c>
      <c r="T95" s="45">
        <f t="shared" si="65"/>
        <v>1</v>
      </c>
      <c r="U95" s="48">
        <f t="shared" si="76"/>
        <v>1.0000000822403709E-9</v>
      </c>
      <c r="V95" s="48">
        <f t="shared" si="77"/>
        <v>1.0000000822403709E-9</v>
      </c>
      <c r="W95" s="45">
        <f t="shared" si="78"/>
        <v>1.0000001644807486E-18</v>
      </c>
      <c r="X95" s="45">
        <f t="shared" si="79"/>
        <v>1.0000001644807486E-18</v>
      </c>
      <c r="Y95" s="45">
        <f t="shared" si="80"/>
        <v>1.0000001644807486E-18</v>
      </c>
      <c r="Z95" s="45"/>
      <c r="AA95" s="45">
        <f t="shared" si="66"/>
        <v>1</v>
      </c>
      <c r="AB95" s="45">
        <f t="shared" si="81"/>
        <v>1</v>
      </c>
      <c r="AC95" s="45">
        <f t="shared" si="82"/>
        <v>1.0000000822403709E-9</v>
      </c>
      <c r="AD95" s="45">
        <f t="shared" si="83"/>
        <v>1.0000000822403709E-9</v>
      </c>
      <c r="AE95" s="45">
        <f t="shared" si="84"/>
        <v>1.0000001644807486E-18</v>
      </c>
      <c r="AF95" s="45">
        <f t="shared" si="85"/>
        <v>1.0000001644807486E-18</v>
      </c>
      <c r="AG95" s="45">
        <f t="shared" si="86"/>
        <v>1.0000001644807486E-18</v>
      </c>
      <c r="AH95" s="45"/>
      <c r="AI95" s="45">
        <f t="shared" si="87"/>
        <v>1</v>
      </c>
      <c r="AJ95" s="45">
        <f t="shared" si="88"/>
        <v>1</v>
      </c>
      <c r="AK95" s="45">
        <f t="shared" si="89"/>
        <v>1.0000000822403709E-9</v>
      </c>
      <c r="AL95" s="45">
        <f t="shared" si="90"/>
        <v>1.0000000822403709E-9</v>
      </c>
      <c r="AM95" s="45">
        <f t="shared" si="91"/>
        <v>1.0000001644807486E-18</v>
      </c>
      <c r="AN95" s="45">
        <f t="shared" si="92"/>
        <v>1.0000001644807486E-18</v>
      </c>
      <c r="AO95" s="45">
        <f t="shared" si="93"/>
        <v>1.0000001644807486E-18</v>
      </c>
      <c r="AP95" s="45"/>
      <c r="AQ95" s="45">
        <f t="shared" si="94"/>
        <v>1</v>
      </c>
      <c r="AR95" s="45">
        <f t="shared" si="95"/>
        <v>1</v>
      </c>
      <c r="AS95" s="45">
        <f t="shared" si="96"/>
        <v>1.0000000822403709E-9</v>
      </c>
      <c r="AT95" s="45">
        <f t="shared" si="97"/>
        <v>1.0000000822403709E-9</v>
      </c>
      <c r="AU95" s="45">
        <f t="shared" si="98"/>
        <v>1.0000001644807486E-18</v>
      </c>
      <c r="AV95" s="45">
        <f t="shared" si="99"/>
        <v>1.0000001644807486E-18</v>
      </c>
      <c r="AW95" s="45">
        <f t="shared" si="100"/>
        <v>1.0000001644807486E-18</v>
      </c>
      <c r="AX95" s="45"/>
      <c r="AY95" s="45"/>
      <c r="AZ95" s="45"/>
      <c r="BA95" s="45" t="str">
        <f t="shared" si="101"/>
        <v/>
      </c>
      <c r="BB95" s="45" t="str">
        <f t="shared" si="102"/>
        <v/>
      </c>
      <c r="BC95" s="45" t="str">
        <f t="shared" si="103"/>
        <v/>
      </c>
      <c r="BD95" s="45" t="str">
        <f t="shared" si="104"/>
        <v/>
      </c>
      <c r="BE95" s="45" t="str">
        <f t="shared" si="67"/>
        <v/>
      </c>
      <c r="BF95" s="45" t="str">
        <f t="shared" si="68"/>
        <v/>
      </c>
      <c r="BG95" s="45" t="str">
        <f t="shared" si="105"/>
        <v/>
      </c>
      <c r="BH95" s="45"/>
      <c r="BI95" s="45">
        <f t="shared" si="106"/>
        <v>-20000</v>
      </c>
      <c r="BJ95" s="45">
        <f t="shared" si="107"/>
        <v>0.10731709395383104</v>
      </c>
      <c r="BK95" s="45">
        <f t="shared" si="108"/>
        <v>0.12021860531546985</v>
      </c>
      <c r="BL95" s="45">
        <f t="shared" si="109"/>
        <v>-2.1184434825408114</v>
      </c>
      <c r="BM95" s="45">
        <f t="shared" si="69"/>
        <v>42368.869650816225</v>
      </c>
      <c r="BN95" s="45">
        <f t="shared" si="70"/>
        <v>400000000</v>
      </c>
      <c r="BO95" s="45">
        <f t="shared" si="110"/>
        <v>4.487802788719641</v>
      </c>
      <c r="BP95" s="45"/>
      <c r="BQ95" s="45"/>
      <c r="BR95" s="50" t="str">
        <f>IF(B22="","",F95)</f>
        <v/>
      </c>
      <c r="BS95" s="50" t="str">
        <f>IF(B22="","",BJ95)</f>
        <v/>
      </c>
      <c r="BT95" s="50" t="str">
        <f t="shared" si="111"/>
        <v/>
      </c>
      <c r="BU95" s="50" t="str">
        <f t="shared" si="112"/>
        <v/>
      </c>
      <c r="BV95" s="50" t="str">
        <f t="shared" si="71"/>
        <v/>
      </c>
      <c r="BW95" s="50" t="str">
        <f t="shared" si="72"/>
        <v/>
      </c>
      <c r="BX95" s="50" t="str">
        <f t="shared" si="113"/>
        <v/>
      </c>
      <c r="BY95" s="45"/>
      <c r="BZ95" s="72"/>
      <c r="CA95" s="72"/>
      <c r="CB95" s="72"/>
      <c r="CC95" s="72"/>
      <c r="CD95" s="72"/>
      <c r="CE95" s="72"/>
      <c r="CF95" s="72"/>
      <c r="CG95" s="72"/>
      <c r="CH95" s="72"/>
      <c r="CI95" s="72"/>
      <c r="CJ95" s="72"/>
      <c r="CK95" s="70"/>
      <c r="CL95" s="70"/>
    </row>
    <row r="96" spans="1:90" x14ac:dyDescent="0.3">
      <c r="A96" s="48">
        <f>'EINGABEN EINZELWERTE'!E13</f>
        <v>0</v>
      </c>
      <c r="B96" s="45" t="str">
        <f t="shared" si="114"/>
        <v/>
      </c>
      <c r="C96" s="48">
        <f>IF((B96=""),MAX(B9:B108),B96)</f>
        <v>20000</v>
      </c>
      <c r="D96" s="45">
        <f>SMALL(C9:C108,88)</f>
        <v>20000</v>
      </c>
      <c r="E96" s="45">
        <f>LARGE(C9:C108,88)</f>
        <v>20000</v>
      </c>
      <c r="F96" s="49">
        <f>IF(Q6=1,D96,-E96)</f>
        <v>-20000</v>
      </c>
      <c r="G96" s="49">
        <f t="shared" si="62"/>
        <v>0.11251763361691523</v>
      </c>
      <c r="H96" s="49">
        <f t="shared" si="73"/>
        <v>0.10731709395383104</v>
      </c>
      <c r="I96" s="45"/>
      <c r="J96" s="45">
        <f>IF(Q6=1,D96,D96)</f>
        <v>20000</v>
      </c>
      <c r="K96" s="45">
        <f t="shared" si="74"/>
        <v>0.88748236638308475</v>
      </c>
      <c r="L96" s="45">
        <f t="shared" si="75"/>
        <v>0.89268290604616896</v>
      </c>
      <c r="M96" s="45">
        <f t="shared" si="63"/>
        <v>0.69871771847211805</v>
      </c>
      <c r="N96" s="48"/>
      <c r="O96" s="68"/>
      <c r="P96" s="67"/>
      <c r="Q96" s="68"/>
      <c r="R96" s="68"/>
      <c r="S96" s="45">
        <f t="shared" si="64"/>
        <v>1</v>
      </c>
      <c r="T96" s="45">
        <f t="shared" si="65"/>
        <v>1</v>
      </c>
      <c r="U96" s="48">
        <f t="shared" si="76"/>
        <v>1.0000000822403709E-9</v>
      </c>
      <c r="V96" s="48">
        <f t="shared" si="77"/>
        <v>1.0000000822403709E-9</v>
      </c>
      <c r="W96" s="45">
        <f t="shared" si="78"/>
        <v>1.0000001644807486E-18</v>
      </c>
      <c r="X96" s="45">
        <f t="shared" si="79"/>
        <v>1.0000001644807486E-18</v>
      </c>
      <c r="Y96" s="45">
        <f t="shared" si="80"/>
        <v>1.0000001644807486E-18</v>
      </c>
      <c r="Z96" s="45"/>
      <c r="AA96" s="45">
        <f t="shared" si="66"/>
        <v>1</v>
      </c>
      <c r="AB96" s="45">
        <f t="shared" si="81"/>
        <v>1</v>
      </c>
      <c r="AC96" s="45">
        <f t="shared" si="82"/>
        <v>1.0000000822403709E-9</v>
      </c>
      <c r="AD96" s="45">
        <f t="shared" si="83"/>
        <v>1.0000000822403709E-9</v>
      </c>
      <c r="AE96" s="45">
        <f t="shared" si="84"/>
        <v>1.0000001644807486E-18</v>
      </c>
      <c r="AF96" s="45">
        <f t="shared" si="85"/>
        <v>1.0000001644807486E-18</v>
      </c>
      <c r="AG96" s="45">
        <f t="shared" si="86"/>
        <v>1.0000001644807486E-18</v>
      </c>
      <c r="AH96" s="45"/>
      <c r="AI96" s="45">
        <f t="shared" si="87"/>
        <v>1</v>
      </c>
      <c r="AJ96" s="45">
        <f t="shared" si="88"/>
        <v>1</v>
      </c>
      <c r="AK96" s="45">
        <f t="shared" si="89"/>
        <v>1.0000000822403709E-9</v>
      </c>
      <c r="AL96" s="45">
        <f t="shared" si="90"/>
        <v>1.0000000822403709E-9</v>
      </c>
      <c r="AM96" s="45">
        <f t="shared" si="91"/>
        <v>1.0000001644807486E-18</v>
      </c>
      <c r="AN96" s="45">
        <f t="shared" si="92"/>
        <v>1.0000001644807486E-18</v>
      </c>
      <c r="AO96" s="45">
        <f t="shared" si="93"/>
        <v>1.0000001644807486E-18</v>
      </c>
      <c r="AP96" s="45"/>
      <c r="AQ96" s="45">
        <f t="shared" si="94"/>
        <v>1</v>
      </c>
      <c r="AR96" s="45">
        <f t="shared" si="95"/>
        <v>1</v>
      </c>
      <c r="AS96" s="45">
        <f t="shared" si="96"/>
        <v>1.0000000822403709E-9</v>
      </c>
      <c r="AT96" s="45">
        <f t="shared" si="97"/>
        <v>1.0000000822403709E-9</v>
      </c>
      <c r="AU96" s="45">
        <f t="shared" si="98"/>
        <v>1.0000001644807486E-18</v>
      </c>
      <c r="AV96" s="45">
        <f t="shared" si="99"/>
        <v>1.0000001644807486E-18</v>
      </c>
      <c r="AW96" s="45">
        <f t="shared" si="100"/>
        <v>1.0000001644807486E-18</v>
      </c>
      <c r="AX96" s="45"/>
      <c r="AY96" s="45"/>
      <c r="AZ96" s="45"/>
      <c r="BA96" s="45" t="str">
        <f t="shared" si="101"/>
        <v/>
      </c>
      <c r="BB96" s="45" t="str">
        <f t="shared" si="102"/>
        <v/>
      </c>
      <c r="BC96" s="45" t="str">
        <f t="shared" si="103"/>
        <v/>
      </c>
      <c r="BD96" s="45" t="str">
        <f t="shared" si="104"/>
        <v/>
      </c>
      <c r="BE96" s="45" t="str">
        <f t="shared" si="67"/>
        <v/>
      </c>
      <c r="BF96" s="45" t="str">
        <f t="shared" si="68"/>
        <v/>
      </c>
      <c r="BG96" s="45" t="str">
        <f t="shared" si="105"/>
        <v/>
      </c>
      <c r="BH96" s="45"/>
      <c r="BI96" s="45">
        <f t="shared" si="106"/>
        <v>-20000</v>
      </c>
      <c r="BJ96" s="45">
        <f t="shared" si="107"/>
        <v>0.10731709395383104</v>
      </c>
      <c r="BK96" s="45">
        <f t="shared" si="108"/>
        <v>0.12021860531546985</v>
      </c>
      <c r="BL96" s="45">
        <f t="shared" si="109"/>
        <v>-2.1184434825408114</v>
      </c>
      <c r="BM96" s="45">
        <f t="shared" si="69"/>
        <v>42368.869650816225</v>
      </c>
      <c r="BN96" s="45">
        <f t="shared" si="70"/>
        <v>400000000</v>
      </c>
      <c r="BO96" s="45">
        <f t="shared" si="110"/>
        <v>4.487802788719641</v>
      </c>
      <c r="BP96" s="45"/>
      <c r="BQ96" s="45"/>
      <c r="BR96" s="50">
        <f>IF(B21="","",F96)</f>
        <v>-20000</v>
      </c>
      <c r="BS96" s="50">
        <f>IF(B21="","",BJ96)</f>
        <v>0.10731709395383104</v>
      </c>
      <c r="BT96" s="50">
        <f t="shared" si="111"/>
        <v>0.12021860531546985</v>
      </c>
      <c r="BU96" s="50">
        <f t="shared" si="112"/>
        <v>-2.1184434825408114</v>
      </c>
      <c r="BV96" s="50">
        <f t="shared" si="71"/>
        <v>42368.869650816225</v>
      </c>
      <c r="BW96" s="50">
        <f t="shared" si="72"/>
        <v>400000000</v>
      </c>
      <c r="BX96" s="50">
        <f t="shared" si="113"/>
        <v>4.487802788719641</v>
      </c>
      <c r="BY96" s="45"/>
      <c r="BZ96" s="72"/>
      <c r="CA96" s="72"/>
      <c r="CB96" s="72"/>
      <c r="CC96" s="72"/>
      <c r="CD96" s="72"/>
      <c r="CE96" s="72"/>
      <c r="CF96" s="72"/>
      <c r="CG96" s="72"/>
      <c r="CH96" s="72"/>
      <c r="CI96" s="72"/>
      <c r="CJ96" s="72"/>
      <c r="CK96" s="70"/>
      <c r="CL96" s="70"/>
    </row>
    <row r="97" spans="1:90" x14ac:dyDescent="0.3">
      <c r="A97" s="48">
        <f>'EINGABEN EINZELWERTE'!E14</f>
        <v>0</v>
      </c>
      <c r="B97" s="45" t="str">
        <f t="shared" si="114"/>
        <v/>
      </c>
      <c r="C97" s="48">
        <f>IF((B97=""),MAX(B9:B108),B97)</f>
        <v>20000</v>
      </c>
      <c r="D97" s="45">
        <f>SMALL(C9:C108,89)</f>
        <v>20000</v>
      </c>
      <c r="E97" s="45">
        <f>LARGE(C9:C108,89)</f>
        <v>19500</v>
      </c>
      <c r="F97" s="49">
        <f>IF(Q6=1,D97,-E97)</f>
        <v>-19500</v>
      </c>
      <c r="G97" s="49">
        <f t="shared" si="62"/>
        <v>0.12989839111741341</v>
      </c>
      <c r="H97" s="49">
        <f t="shared" si="73"/>
        <v>0.11935563733152801</v>
      </c>
      <c r="I97" s="45"/>
      <c r="J97" s="45">
        <f>IF(Q6=1,D97,D97)</f>
        <v>20000</v>
      </c>
      <c r="K97" s="45">
        <f t="shared" si="74"/>
        <v>0.88748236638308475</v>
      </c>
      <c r="L97" s="45">
        <f t="shared" si="75"/>
        <v>0.89268290604616896</v>
      </c>
      <c r="M97" s="45">
        <f t="shared" si="63"/>
        <v>0.69871771847211805</v>
      </c>
      <c r="N97" s="48"/>
      <c r="O97" s="68"/>
      <c r="P97" s="67"/>
      <c r="Q97" s="68"/>
      <c r="R97" s="68"/>
      <c r="S97" s="45">
        <f t="shared" si="64"/>
        <v>1</v>
      </c>
      <c r="T97" s="45">
        <f t="shared" si="65"/>
        <v>1</v>
      </c>
      <c r="U97" s="48">
        <f t="shared" si="76"/>
        <v>1.0000000822403709E-9</v>
      </c>
      <c r="V97" s="48">
        <f t="shared" si="77"/>
        <v>1.0000000822403709E-9</v>
      </c>
      <c r="W97" s="45">
        <f t="shared" si="78"/>
        <v>1.0000001644807486E-18</v>
      </c>
      <c r="X97" s="45">
        <f t="shared" si="79"/>
        <v>1.0000001644807486E-18</v>
      </c>
      <c r="Y97" s="45">
        <f t="shared" si="80"/>
        <v>1.0000001644807486E-18</v>
      </c>
      <c r="Z97" s="45"/>
      <c r="AA97" s="45">
        <f t="shared" si="66"/>
        <v>1</v>
      </c>
      <c r="AB97" s="45">
        <f t="shared" si="81"/>
        <v>1</v>
      </c>
      <c r="AC97" s="45">
        <f t="shared" si="82"/>
        <v>1.0000000822403709E-9</v>
      </c>
      <c r="AD97" s="45">
        <f t="shared" si="83"/>
        <v>1.0000000822403709E-9</v>
      </c>
      <c r="AE97" s="45">
        <f t="shared" si="84"/>
        <v>1.0000001644807486E-18</v>
      </c>
      <c r="AF97" s="45">
        <f t="shared" si="85"/>
        <v>1.0000001644807486E-18</v>
      </c>
      <c r="AG97" s="45">
        <f t="shared" si="86"/>
        <v>1.0000001644807486E-18</v>
      </c>
      <c r="AH97" s="45"/>
      <c r="AI97" s="45">
        <f t="shared" si="87"/>
        <v>1</v>
      </c>
      <c r="AJ97" s="45">
        <f t="shared" si="88"/>
        <v>1</v>
      </c>
      <c r="AK97" s="45">
        <f t="shared" si="89"/>
        <v>1.0000000822403709E-9</v>
      </c>
      <c r="AL97" s="45">
        <f t="shared" si="90"/>
        <v>1.0000000822403709E-9</v>
      </c>
      <c r="AM97" s="45">
        <f t="shared" si="91"/>
        <v>1.0000001644807486E-18</v>
      </c>
      <c r="AN97" s="45">
        <f t="shared" si="92"/>
        <v>1.0000001644807486E-18</v>
      </c>
      <c r="AO97" s="45">
        <f t="shared" si="93"/>
        <v>1.0000001644807486E-18</v>
      </c>
      <c r="AP97" s="45"/>
      <c r="AQ97" s="45">
        <f t="shared" si="94"/>
        <v>1</v>
      </c>
      <c r="AR97" s="45">
        <f t="shared" si="95"/>
        <v>1</v>
      </c>
      <c r="AS97" s="45">
        <f t="shared" si="96"/>
        <v>1.0000000822403709E-9</v>
      </c>
      <c r="AT97" s="45">
        <f t="shared" si="97"/>
        <v>1.0000000822403709E-9</v>
      </c>
      <c r="AU97" s="45">
        <f t="shared" si="98"/>
        <v>1.0000001644807486E-18</v>
      </c>
      <c r="AV97" s="45">
        <f t="shared" si="99"/>
        <v>1.0000001644807486E-18</v>
      </c>
      <c r="AW97" s="45">
        <f t="shared" si="100"/>
        <v>1.0000001644807486E-18</v>
      </c>
      <c r="AX97" s="45"/>
      <c r="AY97" s="45"/>
      <c r="AZ97" s="45"/>
      <c r="BA97" s="45" t="str">
        <f t="shared" si="101"/>
        <v/>
      </c>
      <c r="BB97" s="45" t="str">
        <f t="shared" si="102"/>
        <v/>
      </c>
      <c r="BC97" s="45" t="str">
        <f t="shared" si="103"/>
        <v/>
      </c>
      <c r="BD97" s="45" t="str">
        <f t="shared" si="104"/>
        <v/>
      </c>
      <c r="BE97" s="45" t="str">
        <f t="shared" si="67"/>
        <v/>
      </c>
      <c r="BF97" s="45" t="str">
        <f t="shared" si="68"/>
        <v/>
      </c>
      <c r="BG97" s="45" t="str">
        <f t="shared" si="105"/>
        <v/>
      </c>
      <c r="BH97" s="45"/>
      <c r="BI97" s="45">
        <f t="shared" si="106"/>
        <v>-19500</v>
      </c>
      <c r="BJ97" s="45">
        <f t="shared" si="107"/>
        <v>0.11935563733152801</v>
      </c>
      <c r="BK97" s="45">
        <f t="shared" si="108"/>
        <v>0.13553216529980866</v>
      </c>
      <c r="BL97" s="45">
        <f t="shared" si="109"/>
        <v>-1.9985462845466875</v>
      </c>
      <c r="BM97" s="45">
        <f t="shared" si="69"/>
        <v>38971.652548660408</v>
      </c>
      <c r="BN97" s="45">
        <f t="shared" si="70"/>
        <v>380250000</v>
      </c>
      <c r="BO97" s="45">
        <f t="shared" si="110"/>
        <v>3.9941872514753691</v>
      </c>
      <c r="BP97" s="45"/>
      <c r="BQ97" s="45"/>
      <c r="BR97" s="50">
        <f>IF(B20="","",F97)</f>
        <v>-19500</v>
      </c>
      <c r="BS97" s="50">
        <f>IF(B20="","",BJ97)</f>
        <v>0.11935563733152801</v>
      </c>
      <c r="BT97" s="50">
        <f t="shared" si="111"/>
        <v>0.13553216529980866</v>
      </c>
      <c r="BU97" s="50">
        <f t="shared" si="112"/>
        <v>-1.9985462845466875</v>
      </c>
      <c r="BV97" s="50">
        <f t="shared" si="71"/>
        <v>38971.652548660408</v>
      </c>
      <c r="BW97" s="50">
        <f t="shared" si="72"/>
        <v>380250000</v>
      </c>
      <c r="BX97" s="50">
        <f t="shared" si="113"/>
        <v>3.9941872514753691</v>
      </c>
      <c r="BY97" s="45"/>
      <c r="BZ97" s="72"/>
      <c r="CA97" s="72"/>
      <c r="CB97" s="72"/>
      <c r="CC97" s="72"/>
      <c r="CD97" s="72"/>
      <c r="CE97" s="72"/>
      <c r="CF97" s="72"/>
      <c r="CG97" s="72"/>
      <c r="CH97" s="72"/>
      <c r="CI97" s="72"/>
      <c r="CJ97" s="72"/>
      <c r="CK97" s="70"/>
      <c r="CL97" s="70"/>
    </row>
    <row r="98" spans="1:90" x14ac:dyDescent="0.3">
      <c r="A98" s="48">
        <f>'EINGABEN EINZELWERTE'!E15</f>
        <v>0</v>
      </c>
      <c r="B98" s="45" t="str">
        <f t="shared" si="114"/>
        <v/>
      </c>
      <c r="C98" s="48">
        <f>IF((B98=""),MAX(B9:B108),B98)</f>
        <v>20000</v>
      </c>
      <c r="D98" s="45">
        <f>SMALL(C9:C108,90)</f>
        <v>20000</v>
      </c>
      <c r="E98" s="45">
        <f>LARGE(C9:C108,90)</f>
        <v>18200</v>
      </c>
      <c r="F98" s="49">
        <f>IF(Q6=1,D98,-E98)</f>
        <v>-18200</v>
      </c>
      <c r="G98" s="49">
        <f t="shared" si="62"/>
        <v>0.18345020298027853</v>
      </c>
      <c r="H98" s="49">
        <f t="shared" si="73"/>
        <v>0.15501220836466265</v>
      </c>
      <c r="I98" s="45"/>
      <c r="J98" s="45">
        <f>IF(Q6=1,D98,D98)</f>
        <v>20000</v>
      </c>
      <c r="K98" s="45">
        <f t="shared" si="74"/>
        <v>0.88748236638308475</v>
      </c>
      <c r="L98" s="45">
        <f t="shared" si="75"/>
        <v>0.89268290604616896</v>
      </c>
      <c r="M98" s="45">
        <f t="shared" si="63"/>
        <v>0.69871771847211805</v>
      </c>
      <c r="N98" s="48"/>
      <c r="O98" s="68"/>
      <c r="P98" s="67"/>
      <c r="Q98" s="68"/>
      <c r="R98" s="68"/>
      <c r="S98" s="45">
        <f t="shared" si="64"/>
        <v>1</v>
      </c>
      <c r="T98" s="45">
        <f t="shared" si="65"/>
        <v>1</v>
      </c>
      <c r="U98" s="48">
        <f t="shared" si="76"/>
        <v>1.0000000822403709E-9</v>
      </c>
      <c r="V98" s="48">
        <f t="shared" si="77"/>
        <v>1.0000000822403709E-9</v>
      </c>
      <c r="W98" s="45">
        <f t="shared" si="78"/>
        <v>1.0000001644807486E-18</v>
      </c>
      <c r="X98" s="45">
        <f t="shared" si="79"/>
        <v>1.0000001644807486E-18</v>
      </c>
      <c r="Y98" s="45">
        <f t="shared" si="80"/>
        <v>1.0000001644807486E-18</v>
      </c>
      <c r="Z98" s="45"/>
      <c r="AA98" s="45">
        <f t="shared" si="66"/>
        <v>1</v>
      </c>
      <c r="AB98" s="45">
        <f t="shared" si="81"/>
        <v>1</v>
      </c>
      <c r="AC98" s="45">
        <f t="shared" si="82"/>
        <v>1.0000000822403709E-9</v>
      </c>
      <c r="AD98" s="45">
        <f t="shared" si="83"/>
        <v>1.0000000822403709E-9</v>
      </c>
      <c r="AE98" s="45">
        <f t="shared" si="84"/>
        <v>1.0000001644807486E-18</v>
      </c>
      <c r="AF98" s="45">
        <f t="shared" si="85"/>
        <v>1.0000001644807486E-18</v>
      </c>
      <c r="AG98" s="45">
        <f t="shared" si="86"/>
        <v>1.0000001644807486E-18</v>
      </c>
      <c r="AH98" s="45"/>
      <c r="AI98" s="45">
        <f t="shared" si="87"/>
        <v>1</v>
      </c>
      <c r="AJ98" s="45">
        <f t="shared" si="88"/>
        <v>1</v>
      </c>
      <c r="AK98" s="45">
        <f t="shared" si="89"/>
        <v>1.0000000822403709E-9</v>
      </c>
      <c r="AL98" s="45">
        <f t="shared" si="90"/>
        <v>1.0000000822403709E-9</v>
      </c>
      <c r="AM98" s="45">
        <f t="shared" si="91"/>
        <v>1.0000001644807486E-18</v>
      </c>
      <c r="AN98" s="45">
        <f t="shared" si="92"/>
        <v>1.0000001644807486E-18</v>
      </c>
      <c r="AO98" s="45">
        <f t="shared" si="93"/>
        <v>1.0000001644807486E-18</v>
      </c>
      <c r="AP98" s="45"/>
      <c r="AQ98" s="45">
        <f t="shared" si="94"/>
        <v>1</v>
      </c>
      <c r="AR98" s="45">
        <f t="shared" si="95"/>
        <v>1</v>
      </c>
      <c r="AS98" s="45">
        <f t="shared" si="96"/>
        <v>1.0000000822403709E-9</v>
      </c>
      <c r="AT98" s="45">
        <f t="shared" si="97"/>
        <v>1.0000000822403709E-9</v>
      </c>
      <c r="AU98" s="45">
        <f t="shared" si="98"/>
        <v>1.0000001644807486E-18</v>
      </c>
      <c r="AV98" s="45">
        <f t="shared" si="99"/>
        <v>1.0000001644807486E-18</v>
      </c>
      <c r="AW98" s="45">
        <f t="shared" si="100"/>
        <v>1.0000001644807486E-18</v>
      </c>
      <c r="AX98" s="45"/>
      <c r="AY98" s="45"/>
      <c r="AZ98" s="45"/>
      <c r="BA98" s="45" t="str">
        <f t="shared" si="101"/>
        <v/>
      </c>
      <c r="BB98" s="45" t="str">
        <f t="shared" si="102"/>
        <v/>
      </c>
      <c r="BC98" s="45" t="str">
        <f t="shared" si="103"/>
        <v/>
      </c>
      <c r="BD98" s="45" t="str">
        <f t="shared" si="104"/>
        <v/>
      </c>
      <c r="BE98" s="45" t="str">
        <f t="shared" si="67"/>
        <v/>
      </c>
      <c r="BF98" s="45" t="str">
        <f t="shared" si="68"/>
        <v/>
      </c>
      <c r="BG98" s="45" t="str">
        <f t="shared" si="105"/>
        <v/>
      </c>
      <c r="BH98" s="45"/>
      <c r="BI98" s="45">
        <f t="shared" si="106"/>
        <v>-18200</v>
      </c>
      <c r="BJ98" s="45">
        <f t="shared" si="107"/>
        <v>0.15501220836466265</v>
      </c>
      <c r="BK98" s="45">
        <f t="shared" si="108"/>
        <v>0.18344905086103264</v>
      </c>
      <c r="BL98" s="45">
        <f t="shared" si="109"/>
        <v>-1.6958183020234336</v>
      </c>
      <c r="BM98" s="45">
        <f t="shared" si="69"/>
        <v>30863.893096826494</v>
      </c>
      <c r="BN98" s="45">
        <f t="shared" si="70"/>
        <v>331240000</v>
      </c>
      <c r="BO98" s="45">
        <f t="shared" si="110"/>
        <v>2.8757997134776416</v>
      </c>
      <c r="BP98" s="45"/>
      <c r="BQ98" s="45"/>
      <c r="BR98" s="50">
        <f>IF(B19="","",F98)</f>
        <v>-18200</v>
      </c>
      <c r="BS98" s="50">
        <f>IF(B19="","",BJ98)</f>
        <v>0.15501220836466265</v>
      </c>
      <c r="BT98" s="50">
        <f t="shared" si="111"/>
        <v>0.18344905086103264</v>
      </c>
      <c r="BU98" s="50">
        <f t="shared" si="112"/>
        <v>-1.6958183020234336</v>
      </c>
      <c r="BV98" s="50">
        <f t="shared" si="71"/>
        <v>30863.893096826494</v>
      </c>
      <c r="BW98" s="50">
        <f t="shared" si="72"/>
        <v>331240000</v>
      </c>
      <c r="BX98" s="50">
        <f t="shared" si="113"/>
        <v>2.8757997134776416</v>
      </c>
      <c r="BY98" s="45"/>
      <c r="BZ98" s="72"/>
      <c r="CA98" s="72"/>
      <c r="CB98" s="72"/>
      <c r="CC98" s="72"/>
      <c r="CD98" s="72"/>
      <c r="CE98" s="72"/>
      <c r="CF98" s="72"/>
      <c r="CG98" s="72"/>
      <c r="CH98" s="72"/>
      <c r="CI98" s="72"/>
      <c r="CJ98" s="72"/>
      <c r="CK98" s="70"/>
      <c r="CL98" s="70"/>
    </row>
    <row r="99" spans="1:90" x14ac:dyDescent="0.3">
      <c r="A99" s="48">
        <f>'EINGABEN EINZELWERTE'!E16</f>
        <v>0</v>
      </c>
      <c r="B99" s="45" t="str">
        <f t="shared" si="114"/>
        <v/>
      </c>
      <c r="C99" s="48">
        <f>IF((B99=""),MAX(B9:B108),B99)</f>
        <v>20000</v>
      </c>
      <c r="D99" s="45">
        <f>SMALL(C9:C108,91)</f>
        <v>20000</v>
      </c>
      <c r="E99" s="45">
        <f>LARGE(C9:C108,91)</f>
        <v>17000</v>
      </c>
      <c r="F99" s="49">
        <f>IF(Q6=1,D99,-E99)</f>
        <v>-17000</v>
      </c>
      <c r="G99" s="49">
        <f t="shared" si="62"/>
        <v>0.24352992893243114</v>
      </c>
      <c r="H99" s="49">
        <f t="shared" si="73"/>
        <v>0.19361015621606301</v>
      </c>
      <c r="I99" s="45"/>
      <c r="J99" s="45">
        <f>IF(Q6=1,D99,D99)</f>
        <v>20000</v>
      </c>
      <c r="K99" s="45">
        <f t="shared" si="74"/>
        <v>0.88748236638308475</v>
      </c>
      <c r="L99" s="45">
        <f t="shared" si="75"/>
        <v>0.89268290604616896</v>
      </c>
      <c r="M99" s="45">
        <f t="shared" si="63"/>
        <v>0.69871771847211805</v>
      </c>
      <c r="N99" s="48"/>
      <c r="O99" s="68"/>
      <c r="P99" s="67"/>
      <c r="Q99" s="68"/>
      <c r="R99" s="68"/>
      <c r="S99" s="45">
        <f t="shared" si="64"/>
        <v>1</v>
      </c>
      <c r="T99" s="45">
        <f t="shared" si="65"/>
        <v>1</v>
      </c>
      <c r="U99" s="48">
        <f t="shared" si="76"/>
        <v>1.0000000822403709E-9</v>
      </c>
      <c r="V99" s="48">
        <f t="shared" si="77"/>
        <v>1.0000000822403709E-9</v>
      </c>
      <c r="W99" s="45">
        <f t="shared" si="78"/>
        <v>1.0000001644807486E-18</v>
      </c>
      <c r="X99" s="45">
        <f t="shared" si="79"/>
        <v>1.0000001644807486E-18</v>
      </c>
      <c r="Y99" s="45">
        <f t="shared" si="80"/>
        <v>1.0000001644807486E-18</v>
      </c>
      <c r="Z99" s="45"/>
      <c r="AA99" s="45">
        <f t="shared" si="66"/>
        <v>1</v>
      </c>
      <c r="AB99" s="45">
        <f t="shared" si="81"/>
        <v>1</v>
      </c>
      <c r="AC99" s="45">
        <f t="shared" si="82"/>
        <v>1.0000000822403709E-9</v>
      </c>
      <c r="AD99" s="45">
        <f t="shared" si="83"/>
        <v>1.0000000822403709E-9</v>
      </c>
      <c r="AE99" s="45">
        <f t="shared" si="84"/>
        <v>1.0000001644807486E-18</v>
      </c>
      <c r="AF99" s="45">
        <f t="shared" si="85"/>
        <v>1.0000001644807486E-18</v>
      </c>
      <c r="AG99" s="45">
        <f t="shared" si="86"/>
        <v>1.0000001644807486E-18</v>
      </c>
      <c r="AH99" s="45"/>
      <c r="AI99" s="45">
        <f t="shared" si="87"/>
        <v>1</v>
      </c>
      <c r="AJ99" s="45">
        <f t="shared" si="88"/>
        <v>1</v>
      </c>
      <c r="AK99" s="45">
        <f t="shared" si="89"/>
        <v>1.0000000822403709E-9</v>
      </c>
      <c r="AL99" s="45">
        <f t="shared" si="90"/>
        <v>1.0000000822403709E-9</v>
      </c>
      <c r="AM99" s="45">
        <f t="shared" si="91"/>
        <v>1.0000001644807486E-18</v>
      </c>
      <c r="AN99" s="45">
        <f t="shared" si="92"/>
        <v>1.0000001644807486E-18</v>
      </c>
      <c r="AO99" s="45">
        <f t="shared" si="93"/>
        <v>1.0000001644807486E-18</v>
      </c>
      <c r="AP99" s="45"/>
      <c r="AQ99" s="45">
        <f t="shared" si="94"/>
        <v>1</v>
      </c>
      <c r="AR99" s="45">
        <f t="shared" si="95"/>
        <v>1</v>
      </c>
      <c r="AS99" s="45">
        <f t="shared" si="96"/>
        <v>1.0000000822403709E-9</v>
      </c>
      <c r="AT99" s="45">
        <f t="shared" si="97"/>
        <v>1.0000000822403709E-9</v>
      </c>
      <c r="AU99" s="45">
        <f t="shared" si="98"/>
        <v>1.0000001644807486E-18</v>
      </c>
      <c r="AV99" s="45">
        <f t="shared" si="99"/>
        <v>1.0000001644807486E-18</v>
      </c>
      <c r="AW99" s="45">
        <f t="shared" si="100"/>
        <v>1.0000001644807486E-18</v>
      </c>
      <c r="AX99" s="45"/>
      <c r="AY99" s="45"/>
      <c r="AZ99" s="45"/>
      <c r="BA99" s="45" t="str">
        <f t="shared" si="101"/>
        <v/>
      </c>
      <c r="BB99" s="45" t="str">
        <f t="shared" si="102"/>
        <v/>
      </c>
      <c r="BC99" s="45" t="str">
        <f t="shared" si="103"/>
        <v/>
      </c>
      <c r="BD99" s="45" t="str">
        <f t="shared" si="104"/>
        <v/>
      </c>
      <c r="BE99" s="45" t="str">
        <f t="shared" si="67"/>
        <v/>
      </c>
      <c r="BF99" s="45" t="str">
        <f t="shared" si="68"/>
        <v/>
      </c>
      <c r="BG99" s="45" t="str">
        <f t="shared" si="105"/>
        <v/>
      </c>
      <c r="BH99" s="45"/>
      <c r="BI99" s="45">
        <f t="shared" si="106"/>
        <v>-17000</v>
      </c>
      <c r="BJ99" s="45">
        <f t="shared" si="107"/>
        <v>0.19361015621606301</v>
      </c>
      <c r="BK99" s="45">
        <f t="shared" si="108"/>
        <v>0.24009498347295483</v>
      </c>
      <c r="BL99" s="45">
        <f t="shared" si="109"/>
        <v>-1.4267206694636021</v>
      </c>
      <c r="BM99" s="45">
        <f t="shared" si="69"/>
        <v>24254.251380881236</v>
      </c>
      <c r="BN99" s="45">
        <f t="shared" si="70"/>
        <v>289000000</v>
      </c>
      <c r="BO99" s="45">
        <f t="shared" si="110"/>
        <v>2.0355318686746688</v>
      </c>
      <c r="BP99" s="45"/>
      <c r="BQ99" s="45"/>
      <c r="BR99" s="50">
        <f>IF(B18="","",F99)</f>
        <v>-17000</v>
      </c>
      <c r="BS99" s="50">
        <f>IF(B18="","",BJ99)</f>
        <v>0.19361015621606301</v>
      </c>
      <c r="BT99" s="50">
        <f t="shared" si="111"/>
        <v>0.24009498347295483</v>
      </c>
      <c r="BU99" s="50">
        <f t="shared" si="112"/>
        <v>-1.4267206694636021</v>
      </c>
      <c r="BV99" s="50">
        <f t="shared" si="71"/>
        <v>24254.251380881236</v>
      </c>
      <c r="BW99" s="50">
        <f t="shared" si="72"/>
        <v>289000000</v>
      </c>
      <c r="BX99" s="50">
        <f t="shared" si="113"/>
        <v>2.0355318686746688</v>
      </c>
      <c r="BY99" s="45"/>
      <c r="BZ99" s="72"/>
      <c r="CA99" s="72"/>
      <c r="CB99" s="72"/>
      <c r="CC99" s="72"/>
      <c r="CD99" s="72"/>
      <c r="CE99" s="72"/>
      <c r="CF99" s="72"/>
      <c r="CG99" s="72"/>
      <c r="CH99" s="72"/>
      <c r="CI99" s="72"/>
      <c r="CJ99" s="72"/>
      <c r="CK99" s="70"/>
      <c r="CL99" s="70"/>
    </row>
    <row r="100" spans="1:90" x14ac:dyDescent="0.3">
      <c r="A100" s="48">
        <f>'EINGABEN EINZELWERTE'!E17</f>
        <v>0</v>
      </c>
      <c r="B100" s="45" t="str">
        <f t="shared" si="114"/>
        <v/>
      </c>
      <c r="C100" s="48">
        <f>IF((B100=""),MAX(B9:B108),B100)</f>
        <v>20000</v>
      </c>
      <c r="D100" s="45">
        <f>SMALL(C9:C108,92)</f>
        <v>20000</v>
      </c>
      <c r="E100" s="45">
        <f>LARGE(C9:C108,92)</f>
        <v>16100</v>
      </c>
      <c r="F100" s="49">
        <f>IF(Q6=1,D100,-E100)</f>
        <v>-16100</v>
      </c>
      <c r="G100" s="49">
        <f t="shared" si="62"/>
        <v>0.29476531108727944</v>
      </c>
      <c r="H100" s="49">
        <f t="shared" si="73"/>
        <v>0.22608771240358044</v>
      </c>
      <c r="I100" s="45"/>
      <c r="J100" s="45">
        <f>IF(Q6=1,D100,D100)</f>
        <v>20000</v>
      </c>
      <c r="K100" s="45">
        <f t="shared" si="74"/>
        <v>0.88748236638308475</v>
      </c>
      <c r="L100" s="45">
        <f t="shared" si="75"/>
        <v>0.89268290604616896</v>
      </c>
      <c r="M100" s="45">
        <f t="shared" si="63"/>
        <v>0.69871771847211805</v>
      </c>
      <c r="N100" s="48"/>
      <c r="O100" s="68"/>
      <c r="P100" s="67"/>
      <c r="Q100" s="68"/>
      <c r="R100" s="68"/>
      <c r="S100" s="45">
        <f t="shared" si="64"/>
        <v>1</v>
      </c>
      <c r="T100" s="45">
        <f t="shared" si="65"/>
        <v>1</v>
      </c>
      <c r="U100" s="48">
        <f t="shared" si="76"/>
        <v>1.0000000822403709E-9</v>
      </c>
      <c r="V100" s="48">
        <f t="shared" si="77"/>
        <v>1.0000000822403709E-9</v>
      </c>
      <c r="W100" s="45">
        <f t="shared" si="78"/>
        <v>1.0000001644807486E-18</v>
      </c>
      <c r="X100" s="45">
        <f t="shared" si="79"/>
        <v>1.0000001644807486E-18</v>
      </c>
      <c r="Y100" s="45">
        <f t="shared" si="80"/>
        <v>1.0000001644807486E-18</v>
      </c>
      <c r="Z100" s="45"/>
      <c r="AA100" s="45">
        <f t="shared" si="66"/>
        <v>1</v>
      </c>
      <c r="AB100" s="45">
        <f t="shared" si="81"/>
        <v>1</v>
      </c>
      <c r="AC100" s="45">
        <f t="shared" si="82"/>
        <v>1.0000000822403709E-9</v>
      </c>
      <c r="AD100" s="45">
        <f t="shared" si="83"/>
        <v>1.0000000822403709E-9</v>
      </c>
      <c r="AE100" s="45">
        <f t="shared" si="84"/>
        <v>1.0000001644807486E-18</v>
      </c>
      <c r="AF100" s="45">
        <f t="shared" si="85"/>
        <v>1.0000001644807486E-18</v>
      </c>
      <c r="AG100" s="45">
        <f t="shared" si="86"/>
        <v>1.0000001644807486E-18</v>
      </c>
      <c r="AH100" s="45"/>
      <c r="AI100" s="45">
        <f t="shared" si="87"/>
        <v>1</v>
      </c>
      <c r="AJ100" s="45">
        <f t="shared" si="88"/>
        <v>1</v>
      </c>
      <c r="AK100" s="45">
        <f t="shared" si="89"/>
        <v>1.0000000822403709E-9</v>
      </c>
      <c r="AL100" s="45">
        <f t="shared" si="90"/>
        <v>1.0000000822403709E-9</v>
      </c>
      <c r="AM100" s="45">
        <f t="shared" si="91"/>
        <v>1.0000001644807486E-18</v>
      </c>
      <c r="AN100" s="45">
        <f t="shared" si="92"/>
        <v>1.0000001644807486E-18</v>
      </c>
      <c r="AO100" s="45">
        <f t="shared" si="93"/>
        <v>1.0000001644807486E-18</v>
      </c>
      <c r="AP100" s="45"/>
      <c r="AQ100" s="45">
        <f t="shared" si="94"/>
        <v>1</v>
      </c>
      <c r="AR100" s="45">
        <f t="shared" si="95"/>
        <v>1</v>
      </c>
      <c r="AS100" s="45">
        <f t="shared" si="96"/>
        <v>1.0000000822403709E-9</v>
      </c>
      <c r="AT100" s="45">
        <f t="shared" si="97"/>
        <v>1.0000000822403709E-9</v>
      </c>
      <c r="AU100" s="45">
        <f t="shared" si="98"/>
        <v>1.0000001644807486E-18</v>
      </c>
      <c r="AV100" s="45">
        <f t="shared" si="99"/>
        <v>1.0000001644807486E-18</v>
      </c>
      <c r="AW100" s="45">
        <f t="shared" si="100"/>
        <v>1.0000001644807486E-18</v>
      </c>
      <c r="AX100" s="45"/>
      <c r="AY100" s="45"/>
      <c r="AZ100" s="45"/>
      <c r="BA100" s="45" t="str">
        <f t="shared" si="101"/>
        <v/>
      </c>
      <c r="BB100" s="45" t="str">
        <f t="shared" si="102"/>
        <v/>
      </c>
      <c r="BC100" s="45" t="str">
        <f t="shared" si="103"/>
        <v/>
      </c>
      <c r="BD100" s="45" t="str">
        <f t="shared" si="104"/>
        <v/>
      </c>
      <c r="BE100" s="45" t="str">
        <f t="shared" si="67"/>
        <v/>
      </c>
      <c r="BF100" s="45" t="str">
        <f t="shared" si="68"/>
        <v/>
      </c>
      <c r="BG100" s="45" t="str">
        <f t="shared" si="105"/>
        <v/>
      </c>
      <c r="BH100" s="45"/>
      <c r="BI100" s="45">
        <f t="shared" si="106"/>
        <v>-16100</v>
      </c>
      <c r="BJ100" s="45">
        <f t="shared" si="107"/>
        <v>0.22608771240358044</v>
      </c>
      <c r="BK100" s="45">
        <f t="shared" si="108"/>
        <v>0.29213609349161912</v>
      </c>
      <c r="BL100" s="45">
        <f t="shared" si="109"/>
        <v>-1.2305355116909851</v>
      </c>
      <c r="BM100" s="45">
        <f t="shared" si="69"/>
        <v>19811.621738224861</v>
      </c>
      <c r="BN100" s="45">
        <f t="shared" si="70"/>
        <v>259210000</v>
      </c>
      <c r="BO100" s="45">
        <f t="shared" si="110"/>
        <v>1.5142176455325944</v>
      </c>
      <c r="BP100" s="45"/>
      <c r="BQ100" s="45"/>
      <c r="BR100" s="50">
        <f>IF(B17="","",F100)</f>
        <v>-16100</v>
      </c>
      <c r="BS100" s="50">
        <f>IF(B17="","",BJ100)</f>
        <v>0.22608771240358044</v>
      </c>
      <c r="BT100" s="50">
        <f t="shared" si="111"/>
        <v>0.29213609349161912</v>
      </c>
      <c r="BU100" s="50">
        <f t="shared" si="112"/>
        <v>-1.2305355116909851</v>
      </c>
      <c r="BV100" s="50">
        <f t="shared" si="71"/>
        <v>19811.621738224861</v>
      </c>
      <c r="BW100" s="50">
        <f t="shared" si="72"/>
        <v>259210000</v>
      </c>
      <c r="BX100" s="50">
        <f t="shared" si="113"/>
        <v>1.5142176455325944</v>
      </c>
      <c r="BY100" s="45"/>
      <c r="BZ100" s="72"/>
      <c r="CA100" s="72"/>
      <c r="CB100" s="72"/>
      <c r="CC100" s="72"/>
      <c r="CD100" s="72"/>
      <c r="CE100" s="72"/>
      <c r="CF100" s="72"/>
      <c r="CG100" s="72"/>
      <c r="CH100" s="72"/>
      <c r="CI100" s="72"/>
      <c r="CJ100" s="72"/>
      <c r="CK100" s="70"/>
      <c r="CL100" s="70"/>
    </row>
    <row r="101" spans="1:90" x14ac:dyDescent="0.3">
      <c r="A101" s="48">
        <f>'EINGABEN EINZELWERTE'!E18</f>
        <v>0</v>
      </c>
      <c r="B101" s="45" t="str">
        <f t="shared" si="114"/>
        <v/>
      </c>
      <c r="C101" s="48">
        <f>IF((B101=""),MAX(B9:B108),B101)</f>
        <v>20000</v>
      </c>
      <c r="D101" s="45">
        <f>SMALL(C9:C108,93)</f>
        <v>20000</v>
      </c>
      <c r="E101" s="45">
        <f>LARGE(C9:C108,93)</f>
        <v>16000</v>
      </c>
      <c r="F101" s="49">
        <f>IF(Q6=1,D101,-E101)</f>
        <v>-16000</v>
      </c>
      <c r="G101" s="49">
        <f t="shared" si="62"/>
        <v>0.30075120496939273</v>
      </c>
      <c r="H101" s="49">
        <f t="shared" si="73"/>
        <v>0.22987717061672108</v>
      </c>
      <c r="I101" s="45"/>
      <c r="J101" s="45">
        <f>IF(Q6=1,D101,D101)</f>
        <v>20000</v>
      </c>
      <c r="K101" s="45">
        <f t="shared" si="74"/>
        <v>0.88748236638308475</v>
      </c>
      <c r="L101" s="45">
        <f t="shared" si="75"/>
        <v>0.89268290604616896</v>
      </c>
      <c r="M101" s="45">
        <f t="shared" si="63"/>
        <v>0.69871771847211805</v>
      </c>
      <c r="N101" s="48"/>
      <c r="O101" s="68"/>
      <c r="P101" s="67"/>
      <c r="Q101" s="68"/>
      <c r="R101" s="68"/>
      <c r="S101" s="45">
        <f t="shared" si="64"/>
        <v>1</v>
      </c>
      <c r="T101" s="45">
        <f t="shared" si="65"/>
        <v>1</v>
      </c>
      <c r="U101" s="48">
        <f t="shared" si="76"/>
        <v>1.0000000822403709E-9</v>
      </c>
      <c r="V101" s="48">
        <f t="shared" si="77"/>
        <v>1.0000000822403709E-9</v>
      </c>
      <c r="W101" s="45">
        <f t="shared" si="78"/>
        <v>1.0000001644807486E-18</v>
      </c>
      <c r="X101" s="45">
        <f t="shared" si="79"/>
        <v>1.0000001644807486E-18</v>
      </c>
      <c r="Y101" s="45">
        <f t="shared" si="80"/>
        <v>1.0000001644807486E-18</v>
      </c>
      <c r="Z101" s="45"/>
      <c r="AA101" s="45">
        <f t="shared" si="66"/>
        <v>1</v>
      </c>
      <c r="AB101" s="45">
        <f t="shared" si="81"/>
        <v>1</v>
      </c>
      <c r="AC101" s="45">
        <f t="shared" si="82"/>
        <v>1.0000000822403709E-9</v>
      </c>
      <c r="AD101" s="45">
        <f t="shared" si="83"/>
        <v>1.0000000822403709E-9</v>
      </c>
      <c r="AE101" s="45">
        <f t="shared" si="84"/>
        <v>1.0000001644807486E-18</v>
      </c>
      <c r="AF101" s="45">
        <f t="shared" si="85"/>
        <v>1.0000001644807486E-18</v>
      </c>
      <c r="AG101" s="45">
        <f t="shared" si="86"/>
        <v>1.0000001644807486E-18</v>
      </c>
      <c r="AH101" s="45"/>
      <c r="AI101" s="45">
        <f t="shared" si="87"/>
        <v>1</v>
      </c>
      <c r="AJ101" s="45">
        <f t="shared" si="88"/>
        <v>1</v>
      </c>
      <c r="AK101" s="45">
        <f t="shared" si="89"/>
        <v>1.0000000822403709E-9</v>
      </c>
      <c r="AL101" s="45">
        <f t="shared" si="90"/>
        <v>1.0000000822403709E-9</v>
      </c>
      <c r="AM101" s="45">
        <f t="shared" si="91"/>
        <v>1.0000001644807486E-18</v>
      </c>
      <c r="AN101" s="45">
        <f t="shared" si="92"/>
        <v>1.0000001644807486E-18</v>
      </c>
      <c r="AO101" s="45">
        <f t="shared" si="93"/>
        <v>1.0000001644807486E-18</v>
      </c>
      <c r="AP101" s="45"/>
      <c r="AQ101" s="45">
        <f t="shared" si="94"/>
        <v>1</v>
      </c>
      <c r="AR101" s="45">
        <f t="shared" si="95"/>
        <v>1</v>
      </c>
      <c r="AS101" s="45">
        <f t="shared" si="96"/>
        <v>1.0000000822403709E-9</v>
      </c>
      <c r="AT101" s="45">
        <f t="shared" si="97"/>
        <v>1.0000000822403709E-9</v>
      </c>
      <c r="AU101" s="45">
        <f t="shared" si="98"/>
        <v>1.0000001644807486E-18</v>
      </c>
      <c r="AV101" s="45">
        <f t="shared" si="99"/>
        <v>1.0000001644807486E-18</v>
      </c>
      <c r="AW101" s="45">
        <f t="shared" si="100"/>
        <v>1.0000001644807486E-18</v>
      </c>
      <c r="AX101" s="45"/>
      <c r="AY101" s="45"/>
      <c r="AZ101" s="45"/>
      <c r="BA101" s="45" t="str">
        <f t="shared" si="101"/>
        <v/>
      </c>
      <c r="BB101" s="45" t="str">
        <f t="shared" si="102"/>
        <v/>
      </c>
      <c r="BC101" s="45" t="str">
        <f t="shared" si="103"/>
        <v/>
      </c>
      <c r="BD101" s="45" t="str">
        <f t="shared" si="104"/>
        <v/>
      </c>
      <c r="BE101" s="45" t="str">
        <f t="shared" si="67"/>
        <v/>
      </c>
      <c r="BF101" s="45" t="str">
        <f t="shared" si="68"/>
        <v/>
      </c>
      <c r="BG101" s="45" t="str">
        <f t="shared" si="105"/>
        <v/>
      </c>
      <c r="BH101" s="45"/>
      <c r="BI101" s="45">
        <f t="shared" si="106"/>
        <v>-16000</v>
      </c>
      <c r="BJ101" s="45">
        <f t="shared" si="107"/>
        <v>0.22987717061672108</v>
      </c>
      <c r="BK101" s="45">
        <f t="shared" si="108"/>
        <v>0.29849416462671124</v>
      </c>
      <c r="BL101" s="45">
        <f t="shared" si="109"/>
        <v>-1.2090048953298063</v>
      </c>
      <c r="BM101" s="45">
        <f t="shared" si="69"/>
        <v>19344.0783252769</v>
      </c>
      <c r="BN101" s="45">
        <f t="shared" si="70"/>
        <v>256000000</v>
      </c>
      <c r="BO101" s="45">
        <f t="shared" si="110"/>
        <v>1.4616928369314357</v>
      </c>
      <c r="BP101" s="45"/>
      <c r="BQ101" s="45"/>
      <c r="BR101" s="50">
        <f>IF(B16="","",F101)</f>
        <v>-16000</v>
      </c>
      <c r="BS101" s="50">
        <f>IF(B16="","",BJ101)</f>
        <v>0.22987717061672108</v>
      </c>
      <c r="BT101" s="50">
        <f t="shared" si="111"/>
        <v>0.29849416462671124</v>
      </c>
      <c r="BU101" s="50">
        <f t="shared" si="112"/>
        <v>-1.2090048953298063</v>
      </c>
      <c r="BV101" s="50">
        <f t="shared" si="71"/>
        <v>19344.0783252769</v>
      </c>
      <c r="BW101" s="50">
        <f t="shared" si="72"/>
        <v>256000000</v>
      </c>
      <c r="BX101" s="50">
        <f t="shared" si="113"/>
        <v>1.4616928369314357</v>
      </c>
      <c r="BY101" s="45"/>
      <c r="BZ101" s="72"/>
      <c r="CA101" s="72"/>
      <c r="CB101" s="72"/>
      <c r="CC101" s="72"/>
      <c r="CD101" s="72"/>
      <c r="CE101" s="72"/>
      <c r="CF101" s="72"/>
      <c r="CG101" s="72"/>
      <c r="CH101" s="72"/>
      <c r="CI101" s="72"/>
      <c r="CJ101" s="72"/>
      <c r="CK101" s="70"/>
      <c r="CL101" s="70"/>
    </row>
    <row r="102" spans="1:90" x14ac:dyDescent="0.3">
      <c r="A102" s="48">
        <f>'EINGABEN EINZELWERTE'!E19</f>
        <v>0</v>
      </c>
      <c r="B102" s="45" t="str">
        <f t="shared" si="114"/>
        <v/>
      </c>
      <c r="C102" s="48">
        <f>IF((B102=""),MAX(B9:B108),B102)</f>
        <v>20000</v>
      </c>
      <c r="D102" s="45">
        <f>SMALL(C9:C108,94)</f>
        <v>20000</v>
      </c>
      <c r="E102" s="45">
        <f>LARGE(C9:C108,94)</f>
        <v>14000</v>
      </c>
      <c r="F102" s="49">
        <f>IF(Q6=1,D102,-E102)</f>
        <v>-14000</v>
      </c>
      <c r="G102" s="49">
        <f t="shared" si="62"/>
        <v>0.42985705117606615</v>
      </c>
      <c r="H102" s="49">
        <f t="shared" si="73"/>
        <v>0.31262773903192698</v>
      </c>
      <c r="I102" s="45"/>
      <c r="J102" s="45">
        <f>IF(Q6=1,D102,D102)</f>
        <v>20000</v>
      </c>
      <c r="K102" s="45">
        <f t="shared" si="74"/>
        <v>0.88748236638308475</v>
      </c>
      <c r="L102" s="45">
        <f t="shared" si="75"/>
        <v>0.89268290604616896</v>
      </c>
      <c r="M102" s="45">
        <f t="shared" si="63"/>
        <v>0.69871771847211805</v>
      </c>
      <c r="N102" s="48"/>
      <c r="O102" s="68"/>
      <c r="P102" s="67"/>
      <c r="Q102" s="68"/>
      <c r="R102" s="68"/>
      <c r="S102" s="45">
        <f t="shared" si="64"/>
        <v>1</v>
      </c>
      <c r="T102" s="45">
        <f t="shared" si="65"/>
        <v>1</v>
      </c>
      <c r="U102" s="48">
        <f t="shared" si="76"/>
        <v>1.0000000822403709E-9</v>
      </c>
      <c r="V102" s="48">
        <f t="shared" si="77"/>
        <v>1.0000000822403709E-9</v>
      </c>
      <c r="W102" s="45">
        <f t="shared" si="78"/>
        <v>1.0000001644807486E-18</v>
      </c>
      <c r="X102" s="45">
        <f t="shared" si="79"/>
        <v>1.0000001644807486E-18</v>
      </c>
      <c r="Y102" s="45">
        <f t="shared" si="80"/>
        <v>1.0000001644807486E-18</v>
      </c>
      <c r="Z102" s="45"/>
      <c r="AA102" s="45">
        <f t="shared" si="66"/>
        <v>1</v>
      </c>
      <c r="AB102" s="45">
        <f t="shared" si="81"/>
        <v>1</v>
      </c>
      <c r="AC102" s="45">
        <f t="shared" si="82"/>
        <v>1.0000000822403709E-9</v>
      </c>
      <c r="AD102" s="45">
        <f t="shared" si="83"/>
        <v>1.0000000822403709E-9</v>
      </c>
      <c r="AE102" s="45">
        <f t="shared" si="84"/>
        <v>1.0000001644807486E-18</v>
      </c>
      <c r="AF102" s="45">
        <f t="shared" si="85"/>
        <v>1.0000001644807486E-18</v>
      </c>
      <c r="AG102" s="45">
        <f t="shared" si="86"/>
        <v>1.0000001644807486E-18</v>
      </c>
      <c r="AH102" s="45"/>
      <c r="AI102" s="45">
        <f t="shared" si="87"/>
        <v>1</v>
      </c>
      <c r="AJ102" s="45">
        <f t="shared" si="88"/>
        <v>1</v>
      </c>
      <c r="AK102" s="45">
        <f t="shared" si="89"/>
        <v>1.0000000822403709E-9</v>
      </c>
      <c r="AL102" s="45">
        <f t="shared" si="90"/>
        <v>1.0000000822403709E-9</v>
      </c>
      <c r="AM102" s="45">
        <f t="shared" si="91"/>
        <v>1.0000001644807486E-18</v>
      </c>
      <c r="AN102" s="45">
        <f t="shared" si="92"/>
        <v>1.0000001644807486E-18</v>
      </c>
      <c r="AO102" s="45">
        <f t="shared" si="93"/>
        <v>1.0000001644807486E-18</v>
      </c>
      <c r="AP102" s="45"/>
      <c r="AQ102" s="45">
        <f t="shared" si="94"/>
        <v>1</v>
      </c>
      <c r="AR102" s="45">
        <f t="shared" si="95"/>
        <v>1</v>
      </c>
      <c r="AS102" s="45">
        <f t="shared" si="96"/>
        <v>1.0000000822403709E-9</v>
      </c>
      <c r="AT102" s="45">
        <f t="shared" si="97"/>
        <v>1.0000000822403709E-9</v>
      </c>
      <c r="AU102" s="45">
        <f t="shared" si="98"/>
        <v>1.0000001644807486E-18</v>
      </c>
      <c r="AV102" s="45">
        <f t="shared" si="99"/>
        <v>1.0000001644807486E-18</v>
      </c>
      <c r="AW102" s="45">
        <f t="shared" si="100"/>
        <v>1.0000001644807486E-18</v>
      </c>
      <c r="AX102" s="45"/>
      <c r="AY102" s="45"/>
      <c r="AZ102" s="45"/>
      <c r="BA102" s="45" t="str">
        <f t="shared" si="101"/>
        <v/>
      </c>
      <c r="BB102" s="45" t="str">
        <f t="shared" si="102"/>
        <v/>
      </c>
      <c r="BC102" s="45" t="str">
        <f t="shared" si="103"/>
        <v/>
      </c>
      <c r="BD102" s="45" t="str">
        <f t="shared" si="104"/>
        <v/>
      </c>
      <c r="BE102" s="45" t="str">
        <f t="shared" si="67"/>
        <v/>
      </c>
      <c r="BF102" s="45" t="str">
        <f t="shared" si="68"/>
        <v/>
      </c>
      <c r="BG102" s="45" t="str">
        <f t="shared" si="105"/>
        <v/>
      </c>
      <c r="BH102" s="45"/>
      <c r="BI102" s="45">
        <f t="shared" si="106"/>
        <v>-14000</v>
      </c>
      <c r="BJ102" s="45">
        <f t="shared" si="107"/>
        <v>0.31262773903192698</v>
      </c>
      <c r="BK102" s="45">
        <f t="shared" si="108"/>
        <v>0.45481576255584144</v>
      </c>
      <c r="BL102" s="45">
        <f t="shared" si="109"/>
        <v>-0.7878628594920869</v>
      </c>
      <c r="BM102" s="45">
        <f t="shared" si="69"/>
        <v>11030.080032889216</v>
      </c>
      <c r="BN102" s="45">
        <f t="shared" si="70"/>
        <v>196000000</v>
      </c>
      <c r="BO102" s="45">
        <f t="shared" si="110"/>
        <v>0.62072788536704782</v>
      </c>
      <c r="BP102" s="45"/>
      <c r="BQ102" s="45"/>
      <c r="BR102" s="50">
        <f>IF(B15="","",F102)</f>
        <v>-14000</v>
      </c>
      <c r="BS102" s="50">
        <f>IF(B15="","",BJ102)</f>
        <v>0.31262773903192698</v>
      </c>
      <c r="BT102" s="50">
        <f t="shared" si="111"/>
        <v>0.45481576255584144</v>
      </c>
      <c r="BU102" s="50">
        <f t="shared" si="112"/>
        <v>-0.7878628594920869</v>
      </c>
      <c r="BV102" s="50">
        <f t="shared" si="71"/>
        <v>11030.080032889216</v>
      </c>
      <c r="BW102" s="50">
        <f t="shared" si="72"/>
        <v>196000000</v>
      </c>
      <c r="BX102" s="50">
        <f t="shared" si="113"/>
        <v>0.62072788536704782</v>
      </c>
      <c r="BY102" s="45"/>
      <c r="BZ102" s="72"/>
      <c r="CA102" s="72"/>
      <c r="CB102" s="72"/>
      <c r="CC102" s="72"/>
      <c r="CD102" s="72"/>
      <c r="CE102" s="72"/>
      <c r="CF102" s="72"/>
      <c r="CG102" s="72"/>
      <c r="CH102" s="72"/>
      <c r="CI102" s="72"/>
      <c r="CJ102" s="72"/>
      <c r="CK102" s="70"/>
      <c r="CL102" s="70"/>
    </row>
    <row r="103" spans="1:90" x14ac:dyDescent="0.3">
      <c r="A103" s="48">
        <f>'EINGABEN EINZELWERTE'!E20</f>
        <v>0</v>
      </c>
      <c r="B103" s="45" t="str">
        <f t="shared" si="114"/>
        <v/>
      </c>
      <c r="C103" s="48">
        <f>IF((B103=""),MAX(B9:B108),B103)</f>
        <v>20000</v>
      </c>
      <c r="D103" s="45">
        <f>SMALL(C9:C108,95)</f>
        <v>20000</v>
      </c>
      <c r="E103" s="45">
        <f>LARGE(C9:C108,95)</f>
        <v>13500</v>
      </c>
      <c r="F103" s="49">
        <f>IF(Q6=1,D103,-E103)</f>
        <v>-13500</v>
      </c>
      <c r="G103" s="49">
        <f t="shared" si="62"/>
        <v>0.4639996399130264</v>
      </c>
      <c r="H103" s="49">
        <f t="shared" si="73"/>
        <v>0.33516079942458799</v>
      </c>
      <c r="I103" s="45"/>
      <c r="J103" s="45">
        <f>IF(Q6=1,D103,D103)</f>
        <v>20000</v>
      </c>
      <c r="K103" s="45">
        <f t="shared" si="74"/>
        <v>0.88748236638308475</v>
      </c>
      <c r="L103" s="45">
        <f t="shared" si="75"/>
        <v>0.89268290604616896</v>
      </c>
      <c r="M103" s="45">
        <f t="shared" si="63"/>
        <v>0.69871771847211805</v>
      </c>
      <c r="N103" s="48"/>
      <c r="O103" s="68"/>
      <c r="P103" s="67"/>
      <c r="Q103" s="68"/>
      <c r="R103" s="68"/>
      <c r="S103" s="45">
        <f t="shared" si="64"/>
        <v>1</v>
      </c>
      <c r="T103" s="45">
        <f t="shared" si="65"/>
        <v>1</v>
      </c>
      <c r="U103" s="48">
        <f t="shared" si="76"/>
        <v>1.0000000822403709E-9</v>
      </c>
      <c r="V103" s="48">
        <f t="shared" si="77"/>
        <v>1.0000000822403709E-9</v>
      </c>
      <c r="W103" s="45">
        <f t="shared" si="78"/>
        <v>1.0000001644807486E-18</v>
      </c>
      <c r="X103" s="45">
        <f t="shared" si="79"/>
        <v>1.0000001644807486E-18</v>
      </c>
      <c r="Y103" s="45">
        <f t="shared" si="80"/>
        <v>1.0000001644807486E-18</v>
      </c>
      <c r="Z103" s="45"/>
      <c r="AA103" s="45">
        <f t="shared" si="66"/>
        <v>1</v>
      </c>
      <c r="AB103" s="45">
        <f t="shared" si="81"/>
        <v>1</v>
      </c>
      <c r="AC103" s="45">
        <f t="shared" si="82"/>
        <v>1.0000000822403709E-9</v>
      </c>
      <c r="AD103" s="45">
        <f t="shared" si="83"/>
        <v>1.0000000822403709E-9</v>
      </c>
      <c r="AE103" s="45">
        <f t="shared" si="84"/>
        <v>1.0000001644807486E-18</v>
      </c>
      <c r="AF103" s="45">
        <f t="shared" si="85"/>
        <v>1.0000001644807486E-18</v>
      </c>
      <c r="AG103" s="45">
        <f t="shared" si="86"/>
        <v>1.0000001644807486E-18</v>
      </c>
      <c r="AH103" s="45"/>
      <c r="AI103" s="45">
        <f t="shared" si="87"/>
        <v>1</v>
      </c>
      <c r="AJ103" s="45">
        <f t="shared" si="88"/>
        <v>1</v>
      </c>
      <c r="AK103" s="45">
        <f t="shared" si="89"/>
        <v>1.0000000822403709E-9</v>
      </c>
      <c r="AL103" s="45">
        <f t="shared" si="90"/>
        <v>1.0000000822403709E-9</v>
      </c>
      <c r="AM103" s="45">
        <f t="shared" si="91"/>
        <v>1.0000001644807486E-18</v>
      </c>
      <c r="AN103" s="45">
        <f t="shared" si="92"/>
        <v>1.0000001644807486E-18</v>
      </c>
      <c r="AO103" s="45">
        <f t="shared" si="93"/>
        <v>1.0000001644807486E-18</v>
      </c>
      <c r="AP103" s="45"/>
      <c r="AQ103" s="45">
        <f t="shared" si="94"/>
        <v>1</v>
      </c>
      <c r="AR103" s="45">
        <f t="shared" si="95"/>
        <v>1</v>
      </c>
      <c r="AS103" s="45">
        <f t="shared" si="96"/>
        <v>1.0000000822403709E-9</v>
      </c>
      <c r="AT103" s="45">
        <f t="shared" si="97"/>
        <v>1.0000000822403709E-9</v>
      </c>
      <c r="AU103" s="45">
        <f t="shared" si="98"/>
        <v>1.0000001644807486E-18</v>
      </c>
      <c r="AV103" s="45">
        <f t="shared" si="99"/>
        <v>1.0000001644807486E-18</v>
      </c>
      <c r="AW103" s="45">
        <f t="shared" si="100"/>
        <v>1.0000001644807486E-18</v>
      </c>
      <c r="AX103" s="45"/>
      <c r="AY103" s="45"/>
      <c r="AZ103" s="45"/>
      <c r="BA103" s="45" t="str">
        <f t="shared" si="101"/>
        <v/>
      </c>
      <c r="BB103" s="45" t="str">
        <f t="shared" si="102"/>
        <v/>
      </c>
      <c r="BC103" s="45" t="str">
        <f t="shared" si="103"/>
        <v/>
      </c>
      <c r="BD103" s="45" t="str">
        <f t="shared" si="104"/>
        <v/>
      </c>
      <c r="BE103" s="45" t="str">
        <f t="shared" si="67"/>
        <v/>
      </c>
      <c r="BF103" s="45" t="str">
        <f t="shared" si="68"/>
        <v/>
      </c>
      <c r="BG103" s="45" t="str">
        <f t="shared" si="105"/>
        <v/>
      </c>
      <c r="BH103" s="45"/>
      <c r="BI103" s="45">
        <f t="shared" si="106"/>
        <v>-13500</v>
      </c>
      <c r="BJ103" s="45">
        <f t="shared" si="107"/>
        <v>0.33516079942458799</v>
      </c>
      <c r="BK103" s="45">
        <f t="shared" si="108"/>
        <v>0.50412310094607771</v>
      </c>
      <c r="BL103" s="45">
        <f t="shared" si="109"/>
        <v>-0.68493479282554848</v>
      </c>
      <c r="BM103" s="45">
        <f t="shared" si="69"/>
        <v>9246.6197031449046</v>
      </c>
      <c r="BN103" s="45">
        <f t="shared" si="70"/>
        <v>182250000</v>
      </c>
      <c r="BO103" s="45">
        <f t="shared" si="110"/>
        <v>0.46913567042297699</v>
      </c>
      <c r="BP103" s="45"/>
      <c r="BQ103" s="45"/>
      <c r="BR103" s="50">
        <f>IF(B14="","",F103)</f>
        <v>-13500</v>
      </c>
      <c r="BS103" s="50">
        <f>IF(B14="","",BJ103)</f>
        <v>0.33516079942458799</v>
      </c>
      <c r="BT103" s="50">
        <f t="shared" si="111"/>
        <v>0.50412310094607771</v>
      </c>
      <c r="BU103" s="50">
        <f t="shared" si="112"/>
        <v>-0.68493479282554848</v>
      </c>
      <c r="BV103" s="50">
        <f t="shared" si="71"/>
        <v>9246.6197031449046</v>
      </c>
      <c r="BW103" s="50">
        <f t="shared" si="72"/>
        <v>182250000</v>
      </c>
      <c r="BX103" s="50">
        <f t="shared" si="113"/>
        <v>0.46913567042297699</v>
      </c>
      <c r="BY103" s="45"/>
      <c r="BZ103" s="72"/>
      <c r="CA103" s="72"/>
      <c r="CB103" s="72"/>
      <c r="CC103" s="72"/>
      <c r="CD103" s="72"/>
      <c r="CE103" s="72"/>
      <c r="CF103" s="72"/>
      <c r="CG103" s="72"/>
      <c r="CH103" s="72"/>
      <c r="CI103" s="72"/>
      <c r="CJ103" s="72"/>
      <c r="CK103" s="70"/>
      <c r="CL103" s="70"/>
    </row>
    <row r="104" spans="1:90" x14ac:dyDescent="0.3">
      <c r="A104" s="48">
        <f>'EINGABEN EINZELWERTE'!E21</f>
        <v>0</v>
      </c>
      <c r="B104" s="45" t="str">
        <f t="shared" si="114"/>
        <v/>
      </c>
      <c r="C104" s="48">
        <f>IF((B104=""),MAX(B9:B108),B104)</f>
        <v>20000</v>
      </c>
      <c r="D104" s="45">
        <f>SMALL(C9:C108,96)</f>
        <v>20000</v>
      </c>
      <c r="E104" s="45">
        <f>LARGE(C9:C108,96)</f>
        <v>12000</v>
      </c>
      <c r="F104" s="49">
        <f>IF(Q6=1,D104,-E104)</f>
        <v>-12000</v>
      </c>
      <c r="G104" s="49">
        <f t="shared" si="62"/>
        <v>0.56700924153944876</v>
      </c>
      <c r="H104" s="49">
        <f t="shared" si="73"/>
        <v>0.40610350031998754</v>
      </c>
      <c r="I104" s="45"/>
      <c r="J104" s="45">
        <f>IF(Q6=1,D104,D104)</f>
        <v>20000</v>
      </c>
      <c r="K104" s="45">
        <f t="shared" si="74"/>
        <v>0.88748236638308475</v>
      </c>
      <c r="L104" s="45">
        <f t="shared" si="75"/>
        <v>0.89268290604616896</v>
      </c>
      <c r="M104" s="45">
        <f t="shared" si="63"/>
        <v>0.69871771847211805</v>
      </c>
      <c r="N104" s="48"/>
      <c r="O104" s="68"/>
      <c r="P104" s="67"/>
      <c r="Q104" s="68"/>
      <c r="R104" s="68"/>
      <c r="S104" s="45">
        <f t="shared" si="64"/>
        <v>1</v>
      </c>
      <c r="T104" s="45">
        <f t="shared" si="65"/>
        <v>1</v>
      </c>
      <c r="U104" s="48">
        <f t="shared" si="76"/>
        <v>1.0000000822403709E-9</v>
      </c>
      <c r="V104" s="48">
        <f t="shared" si="77"/>
        <v>1.0000000822403709E-9</v>
      </c>
      <c r="W104" s="45">
        <f t="shared" si="78"/>
        <v>1.0000001644807486E-18</v>
      </c>
      <c r="X104" s="45">
        <f t="shared" si="79"/>
        <v>1.0000001644807486E-18</v>
      </c>
      <c r="Y104" s="45">
        <f t="shared" si="80"/>
        <v>1.0000001644807486E-18</v>
      </c>
      <c r="Z104" s="45"/>
      <c r="AA104" s="45">
        <f t="shared" si="66"/>
        <v>1</v>
      </c>
      <c r="AB104" s="45">
        <f t="shared" si="81"/>
        <v>1</v>
      </c>
      <c r="AC104" s="45">
        <f t="shared" si="82"/>
        <v>1.0000000822403709E-9</v>
      </c>
      <c r="AD104" s="45">
        <f t="shared" si="83"/>
        <v>1.0000000822403709E-9</v>
      </c>
      <c r="AE104" s="45">
        <f t="shared" si="84"/>
        <v>1.0000001644807486E-18</v>
      </c>
      <c r="AF104" s="45">
        <f t="shared" si="85"/>
        <v>1.0000001644807486E-18</v>
      </c>
      <c r="AG104" s="45">
        <f t="shared" si="86"/>
        <v>1.0000001644807486E-18</v>
      </c>
      <c r="AH104" s="45"/>
      <c r="AI104" s="45">
        <f t="shared" si="87"/>
        <v>1</v>
      </c>
      <c r="AJ104" s="45">
        <f t="shared" si="88"/>
        <v>1</v>
      </c>
      <c r="AK104" s="45">
        <f t="shared" si="89"/>
        <v>1.0000000822403709E-9</v>
      </c>
      <c r="AL104" s="45">
        <f t="shared" si="90"/>
        <v>1.0000000822403709E-9</v>
      </c>
      <c r="AM104" s="45">
        <f t="shared" si="91"/>
        <v>1.0000001644807486E-18</v>
      </c>
      <c r="AN104" s="45">
        <f t="shared" si="92"/>
        <v>1.0000001644807486E-18</v>
      </c>
      <c r="AO104" s="45">
        <f t="shared" si="93"/>
        <v>1.0000001644807486E-18</v>
      </c>
      <c r="AP104" s="45"/>
      <c r="AQ104" s="45">
        <f t="shared" si="94"/>
        <v>1</v>
      </c>
      <c r="AR104" s="45">
        <f t="shared" si="95"/>
        <v>1</v>
      </c>
      <c r="AS104" s="45">
        <f t="shared" si="96"/>
        <v>1.0000000822403709E-9</v>
      </c>
      <c r="AT104" s="45">
        <f t="shared" si="97"/>
        <v>1.0000000822403709E-9</v>
      </c>
      <c r="AU104" s="45">
        <f t="shared" si="98"/>
        <v>1.0000001644807486E-18</v>
      </c>
      <c r="AV104" s="45">
        <f t="shared" si="99"/>
        <v>1.0000001644807486E-18</v>
      </c>
      <c r="AW104" s="45">
        <f t="shared" si="100"/>
        <v>1.0000001644807486E-18</v>
      </c>
      <c r="AX104" s="45"/>
      <c r="AY104" s="45"/>
      <c r="AZ104" s="45"/>
      <c r="BA104" s="45" t="str">
        <f t="shared" si="101"/>
        <v/>
      </c>
      <c r="BB104" s="45" t="str">
        <f t="shared" si="102"/>
        <v/>
      </c>
      <c r="BC104" s="45" t="str">
        <f t="shared" si="103"/>
        <v/>
      </c>
      <c r="BD104" s="45" t="str">
        <f t="shared" si="104"/>
        <v/>
      </c>
      <c r="BE104" s="45" t="str">
        <f t="shared" si="67"/>
        <v/>
      </c>
      <c r="BF104" s="45" t="str">
        <f t="shared" si="68"/>
        <v/>
      </c>
      <c r="BG104" s="45" t="str">
        <f t="shared" si="105"/>
        <v/>
      </c>
      <c r="BH104" s="45"/>
      <c r="BI104" s="45">
        <f t="shared" si="106"/>
        <v>-12000</v>
      </c>
      <c r="BJ104" s="45">
        <f t="shared" si="107"/>
        <v>0.40610350031998754</v>
      </c>
      <c r="BK104" s="45">
        <f t="shared" si="108"/>
        <v>0.6837950729441804</v>
      </c>
      <c r="BL104" s="45">
        <f t="shared" si="109"/>
        <v>-0.38009700720772055</v>
      </c>
      <c r="BM104" s="45">
        <f t="shared" si="69"/>
        <v>4561.1640864926467</v>
      </c>
      <c r="BN104" s="45">
        <f t="shared" si="70"/>
        <v>144000000</v>
      </c>
      <c r="BO104" s="45">
        <f t="shared" si="110"/>
        <v>0.14447373488826598</v>
      </c>
      <c r="BP104" s="45"/>
      <c r="BQ104" s="45"/>
      <c r="BR104" s="50">
        <f>IF(B13="","",F104)</f>
        <v>-12000</v>
      </c>
      <c r="BS104" s="50">
        <f>IF(B13="","",BJ104)</f>
        <v>0.40610350031998754</v>
      </c>
      <c r="BT104" s="50">
        <f t="shared" si="111"/>
        <v>0.6837950729441804</v>
      </c>
      <c r="BU104" s="50">
        <f t="shared" si="112"/>
        <v>-0.38009700720772055</v>
      </c>
      <c r="BV104" s="50">
        <f t="shared" si="71"/>
        <v>4561.1640864926467</v>
      </c>
      <c r="BW104" s="50">
        <f t="shared" si="72"/>
        <v>144000000</v>
      </c>
      <c r="BX104" s="50">
        <f t="shared" si="113"/>
        <v>0.14447373488826598</v>
      </c>
      <c r="BY104" s="45"/>
      <c r="BZ104" s="72"/>
      <c r="CA104" s="72"/>
      <c r="CB104" s="72"/>
      <c r="CC104" s="72"/>
      <c r="CD104" s="72"/>
      <c r="CE104" s="72"/>
      <c r="CF104" s="72"/>
      <c r="CG104" s="72"/>
      <c r="CH104" s="72"/>
      <c r="CI104" s="72"/>
      <c r="CJ104" s="72"/>
      <c r="CK104" s="70"/>
      <c r="CL104" s="70"/>
    </row>
    <row r="105" spans="1:90" x14ac:dyDescent="0.3">
      <c r="A105" s="48">
        <f>'EINGABEN EINZELWERTE'!E22</f>
        <v>0</v>
      </c>
      <c r="B105" s="45" t="str">
        <f t="shared" si="114"/>
        <v/>
      </c>
      <c r="C105" s="48">
        <f>IF((B105=""),MAX(B9:B108),B105)</f>
        <v>20000</v>
      </c>
      <c r="D105" s="45">
        <f>SMALL(C9:C108,97)</f>
        <v>20000</v>
      </c>
      <c r="E105" s="45">
        <f>LARGE(C9:C108,97)</f>
        <v>9400</v>
      </c>
      <c r="F105" s="49">
        <f>IF(Q6=1,D105,-E105)</f>
        <v>-9400</v>
      </c>
      <c r="G105" s="49">
        <f t="shared" ref="G105:G108" si="115">_xlfn.NORM.DIST(F105,$F$109,$F$110,1)</f>
        <v>0.73168562191051834</v>
      </c>
      <c r="H105" s="49">
        <f t="shared" si="73"/>
        <v>0.53526302613783394</v>
      </c>
      <c r="I105" s="45"/>
      <c r="J105" s="45">
        <f>IF(Q6=1,D105,D105)</f>
        <v>20000</v>
      </c>
      <c r="K105" s="45">
        <f t="shared" si="74"/>
        <v>0.88748236638308475</v>
      </c>
      <c r="L105" s="45">
        <f t="shared" si="75"/>
        <v>0.89268290604616896</v>
      </c>
      <c r="M105" s="45">
        <f t="shared" si="63"/>
        <v>0.69871771847211805</v>
      </c>
      <c r="N105" s="48"/>
      <c r="O105" s="68"/>
      <c r="P105" s="67"/>
      <c r="Q105" s="68"/>
      <c r="R105" s="68"/>
      <c r="S105" s="45">
        <f t="shared" si="64"/>
        <v>1</v>
      </c>
      <c r="T105" s="45">
        <f t="shared" si="65"/>
        <v>1</v>
      </c>
      <c r="U105" s="48">
        <f t="shared" si="76"/>
        <v>1.0000000822403709E-9</v>
      </c>
      <c r="V105" s="48">
        <f t="shared" si="77"/>
        <v>1.0000000822403709E-9</v>
      </c>
      <c r="W105" s="45">
        <f t="shared" si="78"/>
        <v>1.0000001644807486E-18</v>
      </c>
      <c r="X105" s="45">
        <f t="shared" si="79"/>
        <v>1.0000001644807486E-18</v>
      </c>
      <c r="Y105" s="45">
        <f t="shared" si="80"/>
        <v>1.0000001644807486E-18</v>
      </c>
      <c r="Z105" s="45"/>
      <c r="AA105" s="45">
        <f t="shared" si="66"/>
        <v>1</v>
      </c>
      <c r="AB105" s="45">
        <f t="shared" si="81"/>
        <v>1</v>
      </c>
      <c r="AC105" s="45">
        <f t="shared" si="82"/>
        <v>1.0000000822403709E-9</v>
      </c>
      <c r="AD105" s="45">
        <f t="shared" si="83"/>
        <v>1.0000000822403709E-9</v>
      </c>
      <c r="AE105" s="45">
        <f t="shared" si="84"/>
        <v>1.0000001644807486E-18</v>
      </c>
      <c r="AF105" s="45">
        <f t="shared" si="85"/>
        <v>1.0000001644807486E-18</v>
      </c>
      <c r="AG105" s="45">
        <f t="shared" si="86"/>
        <v>1.0000001644807486E-18</v>
      </c>
      <c r="AH105" s="45"/>
      <c r="AI105" s="45">
        <f t="shared" si="87"/>
        <v>1</v>
      </c>
      <c r="AJ105" s="45">
        <f t="shared" si="88"/>
        <v>1</v>
      </c>
      <c r="AK105" s="45">
        <f t="shared" si="89"/>
        <v>1.0000000822403709E-9</v>
      </c>
      <c r="AL105" s="45">
        <f t="shared" si="90"/>
        <v>1.0000000822403709E-9</v>
      </c>
      <c r="AM105" s="45">
        <f t="shared" si="91"/>
        <v>1.0000001644807486E-18</v>
      </c>
      <c r="AN105" s="45">
        <f t="shared" si="92"/>
        <v>1.0000001644807486E-18</v>
      </c>
      <c r="AO105" s="45">
        <f t="shared" si="93"/>
        <v>1.0000001644807486E-18</v>
      </c>
      <c r="AP105" s="45"/>
      <c r="AQ105" s="45">
        <f t="shared" si="94"/>
        <v>1</v>
      </c>
      <c r="AR105" s="45">
        <f t="shared" si="95"/>
        <v>1</v>
      </c>
      <c r="AS105" s="45">
        <f t="shared" si="96"/>
        <v>1.0000000822403709E-9</v>
      </c>
      <c r="AT105" s="45">
        <f t="shared" si="97"/>
        <v>1.0000000822403709E-9</v>
      </c>
      <c r="AU105" s="45">
        <f t="shared" si="98"/>
        <v>1.0000001644807486E-18</v>
      </c>
      <c r="AV105" s="45">
        <f t="shared" si="99"/>
        <v>1.0000001644807486E-18</v>
      </c>
      <c r="AW105" s="45">
        <f t="shared" si="100"/>
        <v>1.0000001644807486E-18</v>
      </c>
      <c r="AX105" s="45"/>
      <c r="AY105" s="45"/>
      <c r="AZ105" s="45"/>
      <c r="BA105" s="45" t="str">
        <f t="shared" si="101"/>
        <v/>
      </c>
      <c r="BB105" s="45" t="str">
        <f t="shared" si="102"/>
        <v/>
      </c>
      <c r="BC105" s="45" t="str">
        <f t="shared" si="103"/>
        <v/>
      </c>
      <c r="BD105" s="45" t="str">
        <f t="shared" si="104"/>
        <v/>
      </c>
      <c r="BE105" s="45" t="str">
        <f t="shared" ref="BE105:BE108" si="116">IF(BA105="","",(BA105*BD105))</f>
        <v/>
      </c>
      <c r="BF105" s="45" t="str">
        <f t="shared" si="68"/>
        <v/>
      </c>
      <c r="BG105" s="45" t="str">
        <f t="shared" si="105"/>
        <v/>
      </c>
      <c r="BH105" s="45"/>
      <c r="BI105" s="45">
        <f t="shared" si="106"/>
        <v>-9400</v>
      </c>
      <c r="BJ105" s="45">
        <f t="shared" si="107"/>
        <v>0.53526302613783394</v>
      </c>
      <c r="BK105" s="45">
        <f t="shared" si="108"/>
        <v>1.1517547693474133</v>
      </c>
      <c r="BL105" s="45">
        <f t="shared" si="109"/>
        <v>0.14128666578247925</v>
      </c>
      <c r="BM105" s="45">
        <f t="shared" ref="BM105:BM108" si="117">IF(BI105="","",(BI105*BL105))</f>
        <v>-1328.094658355305</v>
      </c>
      <c r="BN105" s="45">
        <f t="shared" si="70"/>
        <v>88360000</v>
      </c>
      <c r="BO105" s="45">
        <f t="shared" si="110"/>
        <v>1.9961921927929994E-2</v>
      </c>
      <c r="BP105" s="45"/>
      <c r="BQ105" s="45"/>
      <c r="BR105" s="50">
        <f>IF(B12="","",F105)</f>
        <v>-9400</v>
      </c>
      <c r="BS105" s="50">
        <f>IF(B12="","",BJ105)</f>
        <v>0.53526302613783394</v>
      </c>
      <c r="BT105" s="50">
        <f t="shared" si="111"/>
        <v>1.1517547693474133</v>
      </c>
      <c r="BU105" s="50">
        <f t="shared" si="112"/>
        <v>0.14128666578247925</v>
      </c>
      <c r="BV105" s="50">
        <f t="shared" si="71"/>
        <v>-1328.094658355305</v>
      </c>
      <c r="BW105" s="50">
        <f t="shared" si="72"/>
        <v>88360000</v>
      </c>
      <c r="BX105" s="50">
        <f t="shared" si="113"/>
        <v>1.9961921927929994E-2</v>
      </c>
      <c r="BY105" s="45"/>
      <c r="BZ105" s="72"/>
      <c r="CA105" s="72"/>
      <c r="CB105" s="72"/>
      <c r="CC105" s="72"/>
      <c r="CD105" s="72"/>
      <c r="CE105" s="72"/>
      <c r="CF105" s="72"/>
      <c r="CG105" s="72"/>
      <c r="CH105" s="72"/>
      <c r="CI105" s="72"/>
      <c r="CJ105" s="72"/>
      <c r="CK105" s="70"/>
      <c r="CL105" s="70"/>
    </row>
    <row r="106" spans="1:90" x14ac:dyDescent="0.3">
      <c r="A106" s="48">
        <f>'EINGABEN EINZELWERTE'!E23</f>
        <v>0</v>
      </c>
      <c r="B106" s="45" t="str">
        <f t="shared" si="114"/>
        <v/>
      </c>
      <c r="C106" s="48">
        <f>IF((B106=""),MAX(B9:B108),B106)</f>
        <v>20000</v>
      </c>
      <c r="D106" s="45">
        <f>SMALL(C9:C108,98)</f>
        <v>20000</v>
      </c>
      <c r="E106" s="45">
        <f>LARGE(C9:C108,98)</f>
        <v>6000</v>
      </c>
      <c r="F106" s="49">
        <f>IF(Q6=1,D106,-E106)</f>
        <v>-6000</v>
      </c>
      <c r="G106" s="49">
        <f t="shared" si="115"/>
        <v>0.88595126662509416</v>
      </c>
      <c r="H106" s="49">
        <f t="shared" si="73"/>
        <v>0.69669818385754889</v>
      </c>
      <c r="I106" s="45"/>
      <c r="J106" s="45">
        <f>IF(Q6=1,D106,D106)</f>
        <v>20000</v>
      </c>
      <c r="K106" s="45">
        <f t="shared" si="74"/>
        <v>0.88748236638308475</v>
      </c>
      <c r="L106" s="45">
        <f t="shared" si="75"/>
        <v>0.89268290604616896</v>
      </c>
      <c r="M106" s="45">
        <f t="shared" si="63"/>
        <v>0.69871771847211805</v>
      </c>
      <c r="N106" s="48"/>
      <c r="O106" s="68"/>
      <c r="P106" s="67"/>
      <c r="Q106" s="68"/>
      <c r="R106" s="68"/>
      <c r="S106" s="45">
        <f t="shared" si="64"/>
        <v>1</v>
      </c>
      <c r="T106" s="45">
        <f t="shared" si="65"/>
        <v>1</v>
      </c>
      <c r="U106" s="48">
        <f t="shared" si="76"/>
        <v>1.0000000822403709E-9</v>
      </c>
      <c r="V106" s="48">
        <f t="shared" si="77"/>
        <v>1.0000000822403709E-9</v>
      </c>
      <c r="W106" s="45">
        <f t="shared" si="78"/>
        <v>1.0000001644807486E-18</v>
      </c>
      <c r="X106" s="45">
        <f t="shared" si="79"/>
        <v>1.0000001644807486E-18</v>
      </c>
      <c r="Y106" s="45">
        <f t="shared" si="80"/>
        <v>1.0000001644807486E-18</v>
      </c>
      <c r="Z106" s="45"/>
      <c r="AA106" s="45">
        <f t="shared" si="66"/>
        <v>1</v>
      </c>
      <c r="AB106" s="45">
        <f t="shared" si="81"/>
        <v>1</v>
      </c>
      <c r="AC106" s="45">
        <f t="shared" si="82"/>
        <v>1.0000000822403709E-9</v>
      </c>
      <c r="AD106" s="45">
        <f t="shared" si="83"/>
        <v>1.0000000822403709E-9</v>
      </c>
      <c r="AE106" s="45">
        <f t="shared" si="84"/>
        <v>1.0000001644807486E-18</v>
      </c>
      <c r="AF106" s="45">
        <f t="shared" si="85"/>
        <v>1.0000001644807486E-18</v>
      </c>
      <c r="AG106" s="45">
        <f t="shared" si="86"/>
        <v>1.0000001644807486E-18</v>
      </c>
      <c r="AH106" s="45"/>
      <c r="AI106" s="45">
        <f t="shared" si="87"/>
        <v>1</v>
      </c>
      <c r="AJ106" s="45">
        <f t="shared" si="88"/>
        <v>1</v>
      </c>
      <c r="AK106" s="45">
        <f t="shared" si="89"/>
        <v>1.0000000822403709E-9</v>
      </c>
      <c r="AL106" s="45">
        <f t="shared" si="90"/>
        <v>1.0000000822403709E-9</v>
      </c>
      <c r="AM106" s="45">
        <f t="shared" si="91"/>
        <v>1.0000001644807486E-18</v>
      </c>
      <c r="AN106" s="45">
        <f t="shared" si="92"/>
        <v>1.0000001644807486E-18</v>
      </c>
      <c r="AO106" s="45">
        <f t="shared" si="93"/>
        <v>1.0000001644807486E-18</v>
      </c>
      <c r="AP106" s="45"/>
      <c r="AQ106" s="45">
        <f t="shared" si="94"/>
        <v>1</v>
      </c>
      <c r="AR106" s="45">
        <f t="shared" si="95"/>
        <v>1</v>
      </c>
      <c r="AS106" s="45">
        <f t="shared" si="96"/>
        <v>1.0000000822403709E-9</v>
      </c>
      <c r="AT106" s="45">
        <f t="shared" si="97"/>
        <v>1.0000000822403709E-9</v>
      </c>
      <c r="AU106" s="45">
        <f t="shared" si="98"/>
        <v>1.0000001644807486E-18</v>
      </c>
      <c r="AV106" s="45">
        <f t="shared" si="99"/>
        <v>1.0000001644807486E-18</v>
      </c>
      <c r="AW106" s="45">
        <f t="shared" si="100"/>
        <v>1.0000001644807486E-18</v>
      </c>
      <c r="AX106" s="45"/>
      <c r="AY106" s="45"/>
      <c r="AZ106" s="45"/>
      <c r="BA106" s="45" t="str">
        <f t="shared" si="101"/>
        <v/>
      </c>
      <c r="BB106" s="45" t="str">
        <f t="shared" si="102"/>
        <v/>
      </c>
      <c r="BC106" s="45" t="str">
        <f t="shared" si="103"/>
        <v/>
      </c>
      <c r="BD106" s="45" t="str">
        <f t="shared" si="104"/>
        <v/>
      </c>
      <c r="BE106" s="45" t="str">
        <f t="shared" si="116"/>
        <v/>
      </c>
      <c r="BF106" s="45" t="str">
        <f t="shared" si="68"/>
        <v/>
      </c>
      <c r="BG106" s="45" t="str">
        <f t="shared" si="105"/>
        <v/>
      </c>
      <c r="BH106" s="45"/>
      <c r="BI106" s="45">
        <f t="shared" si="106"/>
        <v>-6000</v>
      </c>
      <c r="BJ106" s="45">
        <f t="shared" si="107"/>
        <v>0.69669818385754889</v>
      </c>
      <c r="BK106" s="45">
        <f t="shared" si="108"/>
        <v>2.2970458690901219</v>
      </c>
      <c r="BL106" s="45">
        <f t="shared" si="109"/>
        <v>0.83162389263693293</v>
      </c>
      <c r="BM106" s="45">
        <f t="shared" si="117"/>
        <v>-4989.7433558215971</v>
      </c>
      <c r="BN106" s="45">
        <f t="shared" si="70"/>
        <v>36000000</v>
      </c>
      <c r="BO106" s="45">
        <f t="shared" si="110"/>
        <v>0.69159829880460499</v>
      </c>
      <c r="BP106" s="45"/>
      <c r="BQ106" s="45"/>
      <c r="BR106" s="50">
        <f>IF(B11="","",F106)</f>
        <v>-6000</v>
      </c>
      <c r="BS106" s="50">
        <f>IF(B11="","",BJ106)</f>
        <v>0.69669818385754889</v>
      </c>
      <c r="BT106" s="50">
        <f t="shared" si="111"/>
        <v>2.2970458690901219</v>
      </c>
      <c r="BU106" s="50">
        <f t="shared" si="112"/>
        <v>0.83162389263693293</v>
      </c>
      <c r="BV106" s="50">
        <f t="shared" si="71"/>
        <v>-4989.7433558215971</v>
      </c>
      <c r="BW106" s="50">
        <f t="shared" si="72"/>
        <v>36000000</v>
      </c>
      <c r="BX106" s="50">
        <f t="shared" si="113"/>
        <v>0.69159829880460499</v>
      </c>
      <c r="BY106" s="45"/>
      <c r="BZ106" s="72"/>
      <c r="CA106" s="72"/>
      <c r="CB106" s="72"/>
      <c r="CC106" s="72"/>
      <c r="CD106" s="72"/>
      <c r="CE106" s="72"/>
      <c r="CF106" s="72"/>
      <c r="CG106" s="72"/>
      <c r="CH106" s="72"/>
      <c r="CI106" s="72"/>
      <c r="CJ106" s="72"/>
      <c r="CK106" s="70"/>
      <c r="CL106" s="70"/>
    </row>
    <row r="107" spans="1:90" x14ac:dyDescent="0.3">
      <c r="A107" s="48">
        <f>'EINGABEN EINZELWERTE'!E24</f>
        <v>0</v>
      </c>
      <c r="B107" s="45" t="str">
        <f t="shared" si="114"/>
        <v/>
      </c>
      <c r="C107" s="48">
        <f>IF((B107=""),MAX(B9:B108),B107)</f>
        <v>20000</v>
      </c>
      <c r="D107" s="45">
        <f>SMALL(C9:C108,99)</f>
        <v>20000</v>
      </c>
      <c r="E107" s="45">
        <f>LARGE(C9:C108,99)</f>
        <v>5000</v>
      </c>
      <c r="F107" s="49">
        <f>IF(Q6=1,D107,-E107)</f>
        <v>-5000</v>
      </c>
      <c r="G107" s="49">
        <f t="shared" si="115"/>
        <v>0.91590232900606083</v>
      </c>
      <c r="H107" s="49">
        <f t="shared" si="73"/>
        <v>0.73902598795480856</v>
      </c>
      <c r="I107" s="45"/>
      <c r="J107" s="45">
        <f>IF(Q6=1,D107,D107)</f>
        <v>20000</v>
      </c>
      <c r="K107" s="45">
        <f t="shared" si="74"/>
        <v>0.88748236638308475</v>
      </c>
      <c r="L107" s="45">
        <f t="shared" si="75"/>
        <v>0.89268290604616896</v>
      </c>
      <c r="M107" s="45">
        <f t="shared" si="63"/>
        <v>0.69871771847211805</v>
      </c>
      <c r="N107" s="48"/>
      <c r="O107" s="68"/>
      <c r="P107" s="67"/>
      <c r="Q107" s="68"/>
      <c r="R107" s="68"/>
      <c r="S107" s="45">
        <f t="shared" si="64"/>
        <v>1</v>
      </c>
      <c r="T107" s="45">
        <f t="shared" si="65"/>
        <v>1</v>
      </c>
      <c r="U107" s="48">
        <f t="shared" si="76"/>
        <v>1.0000000822403709E-9</v>
      </c>
      <c r="V107" s="48">
        <f t="shared" si="77"/>
        <v>1.0000000822403709E-9</v>
      </c>
      <c r="W107" s="45">
        <f t="shared" si="78"/>
        <v>1.0000001644807486E-18</v>
      </c>
      <c r="X107" s="45">
        <f t="shared" si="79"/>
        <v>1.0000001644807486E-18</v>
      </c>
      <c r="Y107" s="45">
        <f t="shared" si="80"/>
        <v>1.0000001644807486E-18</v>
      </c>
      <c r="Z107" s="45"/>
      <c r="AA107" s="45">
        <f t="shared" si="66"/>
        <v>1</v>
      </c>
      <c r="AB107" s="45">
        <f t="shared" si="81"/>
        <v>1</v>
      </c>
      <c r="AC107" s="45">
        <f t="shared" si="82"/>
        <v>1.0000000822403709E-9</v>
      </c>
      <c r="AD107" s="45">
        <f t="shared" si="83"/>
        <v>1.0000000822403709E-9</v>
      </c>
      <c r="AE107" s="45">
        <f t="shared" si="84"/>
        <v>1.0000001644807486E-18</v>
      </c>
      <c r="AF107" s="45">
        <f t="shared" si="85"/>
        <v>1.0000001644807486E-18</v>
      </c>
      <c r="AG107" s="45">
        <f t="shared" si="86"/>
        <v>1.0000001644807486E-18</v>
      </c>
      <c r="AH107" s="45"/>
      <c r="AI107" s="45">
        <f t="shared" si="87"/>
        <v>1</v>
      </c>
      <c r="AJ107" s="45">
        <f t="shared" si="88"/>
        <v>1</v>
      </c>
      <c r="AK107" s="45">
        <f t="shared" si="89"/>
        <v>1.0000000822403709E-9</v>
      </c>
      <c r="AL107" s="45">
        <f t="shared" si="90"/>
        <v>1.0000000822403709E-9</v>
      </c>
      <c r="AM107" s="45">
        <f t="shared" si="91"/>
        <v>1.0000001644807486E-18</v>
      </c>
      <c r="AN107" s="45">
        <f t="shared" si="92"/>
        <v>1.0000001644807486E-18</v>
      </c>
      <c r="AO107" s="45">
        <f t="shared" si="93"/>
        <v>1.0000001644807486E-18</v>
      </c>
      <c r="AP107" s="45"/>
      <c r="AQ107" s="45">
        <f t="shared" si="94"/>
        <v>1</v>
      </c>
      <c r="AR107" s="45">
        <f t="shared" si="95"/>
        <v>1</v>
      </c>
      <c r="AS107" s="45">
        <f t="shared" si="96"/>
        <v>1.0000000822403709E-9</v>
      </c>
      <c r="AT107" s="45">
        <f t="shared" si="97"/>
        <v>1.0000000822403709E-9</v>
      </c>
      <c r="AU107" s="45">
        <f t="shared" si="98"/>
        <v>1.0000001644807486E-18</v>
      </c>
      <c r="AV107" s="45">
        <f t="shared" si="99"/>
        <v>1.0000001644807486E-18</v>
      </c>
      <c r="AW107" s="45">
        <f t="shared" si="100"/>
        <v>1.0000001644807486E-18</v>
      </c>
      <c r="AX107" s="45"/>
      <c r="AY107" s="45"/>
      <c r="AZ107" s="45"/>
      <c r="BA107" s="45" t="str">
        <f t="shared" si="101"/>
        <v/>
      </c>
      <c r="BB107" s="45" t="str">
        <f t="shared" si="102"/>
        <v/>
      </c>
      <c r="BC107" s="45" t="str">
        <f t="shared" si="103"/>
        <v/>
      </c>
      <c r="BD107" s="45" t="str">
        <f t="shared" si="104"/>
        <v/>
      </c>
      <c r="BE107" s="45" t="str">
        <f t="shared" si="116"/>
        <v/>
      </c>
      <c r="BF107" s="45" t="str">
        <f t="shared" si="68"/>
        <v/>
      </c>
      <c r="BG107" s="45" t="str">
        <f t="shared" si="105"/>
        <v/>
      </c>
      <c r="BH107" s="45"/>
      <c r="BI107" s="45">
        <f t="shared" si="106"/>
        <v>-5000</v>
      </c>
      <c r="BJ107" s="45">
        <f t="shared" si="107"/>
        <v>0.73902598795480856</v>
      </c>
      <c r="BK107" s="45">
        <f t="shared" si="108"/>
        <v>2.8317991594765983</v>
      </c>
      <c r="BL107" s="45">
        <f t="shared" si="109"/>
        <v>1.0409122550527414</v>
      </c>
      <c r="BM107" s="45">
        <f t="shared" si="117"/>
        <v>-5204.5612752637071</v>
      </c>
      <c r="BN107" s="45">
        <f t="shared" si="70"/>
        <v>25000000</v>
      </c>
      <c r="BO107" s="45">
        <f t="shared" si="110"/>
        <v>1.0834983227189834</v>
      </c>
      <c r="BP107" s="45"/>
      <c r="BQ107" s="45"/>
      <c r="BR107" s="50">
        <f>IF(B10="","",F107)</f>
        <v>-5000</v>
      </c>
      <c r="BS107" s="50">
        <f>IF(B10="","",BJ107)</f>
        <v>0.73902598795480856</v>
      </c>
      <c r="BT107" s="50">
        <f t="shared" si="111"/>
        <v>2.8317991594765983</v>
      </c>
      <c r="BU107" s="50">
        <f t="shared" si="112"/>
        <v>1.0409122550527414</v>
      </c>
      <c r="BV107" s="50">
        <f t="shared" si="71"/>
        <v>-5204.5612752637071</v>
      </c>
      <c r="BW107" s="50">
        <f t="shared" si="72"/>
        <v>25000000</v>
      </c>
      <c r="BX107" s="50">
        <f t="shared" si="113"/>
        <v>1.0834983227189834</v>
      </c>
      <c r="BY107" s="45"/>
      <c r="BZ107" s="72"/>
      <c r="CA107" s="72"/>
      <c r="CB107" s="72"/>
      <c r="CC107" s="72"/>
      <c r="CD107" s="72"/>
      <c r="CE107" s="72"/>
      <c r="CF107" s="72"/>
      <c r="CG107" s="72"/>
      <c r="CH107" s="72"/>
      <c r="CI107" s="72"/>
      <c r="CJ107" s="72"/>
      <c r="CK107" s="70"/>
      <c r="CL107" s="70"/>
    </row>
    <row r="108" spans="1:90" x14ac:dyDescent="0.3">
      <c r="A108" s="48">
        <f>'EINGABEN EINZELWERTE'!E25</f>
        <v>0</v>
      </c>
      <c r="B108" s="45" t="str">
        <f t="shared" si="114"/>
        <v/>
      </c>
      <c r="C108" s="48">
        <f>IF((B108=""),MAX(B9:B108),B108)</f>
        <v>20000</v>
      </c>
      <c r="D108" s="45">
        <f>SMALL(C9:C108,100)</f>
        <v>20000</v>
      </c>
      <c r="E108" s="45">
        <f>LARGE(C9:C108,100)</f>
        <v>2000</v>
      </c>
      <c r="F108" s="49">
        <f>IF(Q6=1,D108,-E108)</f>
        <v>-2000</v>
      </c>
      <c r="G108" s="49">
        <f t="shared" si="115"/>
        <v>0.97103850865563435</v>
      </c>
      <c r="H108" s="49">
        <f t="shared" si="73"/>
        <v>0.84532792561925518</v>
      </c>
      <c r="I108" s="45"/>
      <c r="J108" s="45">
        <f>IF(Q6=1,D108,D108)</f>
        <v>20000</v>
      </c>
      <c r="K108" s="45">
        <f t="shared" si="74"/>
        <v>0.88748236638308475</v>
      </c>
      <c r="L108" s="45">
        <f t="shared" si="75"/>
        <v>0.89268290604616896</v>
      </c>
      <c r="M108" s="45">
        <f t="shared" si="63"/>
        <v>0.69871771847211805</v>
      </c>
      <c r="N108" s="48"/>
      <c r="O108" s="68"/>
      <c r="P108" s="67"/>
      <c r="Q108" s="68"/>
      <c r="R108" s="68"/>
      <c r="S108" s="45">
        <f t="shared" si="64"/>
        <v>1</v>
      </c>
      <c r="T108" s="45">
        <f t="shared" si="65"/>
        <v>1</v>
      </c>
      <c r="U108" s="48">
        <f t="shared" si="76"/>
        <v>1.0000000822403709E-9</v>
      </c>
      <c r="V108" s="48">
        <f t="shared" si="77"/>
        <v>1.0000000822403709E-9</v>
      </c>
      <c r="W108" s="45">
        <f t="shared" si="78"/>
        <v>1.0000001644807486E-18</v>
      </c>
      <c r="X108" s="45">
        <f t="shared" si="79"/>
        <v>1.0000001644807486E-18</v>
      </c>
      <c r="Y108" s="45">
        <f t="shared" si="80"/>
        <v>1.0000001644807486E-18</v>
      </c>
      <c r="Z108" s="45"/>
      <c r="AA108" s="45">
        <f t="shared" si="66"/>
        <v>1</v>
      </c>
      <c r="AB108" s="45">
        <f t="shared" si="81"/>
        <v>1</v>
      </c>
      <c r="AC108" s="45">
        <f t="shared" si="82"/>
        <v>1.0000000822403709E-9</v>
      </c>
      <c r="AD108" s="45">
        <f t="shared" si="83"/>
        <v>1.0000000822403709E-9</v>
      </c>
      <c r="AE108" s="45">
        <f t="shared" si="84"/>
        <v>1.0000001644807486E-18</v>
      </c>
      <c r="AF108" s="45">
        <f t="shared" si="85"/>
        <v>1.0000001644807486E-18</v>
      </c>
      <c r="AG108" s="45">
        <f t="shared" si="86"/>
        <v>1.0000001644807486E-18</v>
      </c>
      <c r="AH108" s="45"/>
      <c r="AI108" s="45">
        <f t="shared" si="87"/>
        <v>1</v>
      </c>
      <c r="AJ108" s="45">
        <f t="shared" si="88"/>
        <v>1</v>
      </c>
      <c r="AK108" s="45">
        <f t="shared" si="89"/>
        <v>1.0000000822403709E-9</v>
      </c>
      <c r="AL108" s="45">
        <f t="shared" si="90"/>
        <v>1.0000000822403709E-9</v>
      </c>
      <c r="AM108" s="45">
        <f t="shared" si="91"/>
        <v>1.0000001644807486E-18</v>
      </c>
      <c r="AN108" s="45">
        <f t="shared" si="92"/>
        <v>1.0000001644807486E-18</v>
      </c>
      <c r="AO108" s="45">
        <f t="shared" si="93"/>
        <v>1.0000001644807486E-18</v>
      </c>
      <c r="AP108" s="45"/>
      <c r="AQ108" s="45">
        <f t="shared" si="94"/>
        <v>1</v>
      </c>
      <c r="AR108" s="45">
        <f t="shared" si="95"/>
        <v>1</v>
      </c>
      <c r="AS108" s="45">
        <f t="shared" si="96"/>
        <v>1.0000000822403709E-9</v>
      </c>
      <c r="AT108" s="45">
        <f t="shared" si="97"/>
        <v>1.0000000822403709E-9</v>
      </c>
      <c r="AU108" s="45">
        <f t="shared" si="98"/>
        <v>1.0000001644807486E-18</v>
      </c>
      <c r="AV108" s="45">
        <f t="shared" si="99"/>
        <v>1.0000001644807486E-18</v>
      </c>
      <c r="AW108" s="45">
        <f t="shared" si="100"/>
        <v>1.0000001644807486E-18</v>
      </c>
      <c r="AX108" s="45"/>
      <c r="AY108" s="45"/>
      <c r="AZ108" s="45"/>
      <c r="BA108" s="45" t="str">
        <f t="shared" si="101"/>
        <v/>
      </c>
      <c r="BB108" s="45" t="str">
        <f t="shared" si="102"/>
        <v/>
      </c>
      <c r="BC108" s="45" t="str">
        <f t="shared" si="103"/>
        <v/>
      </c>
      <c r="BD108" s="45" t="str">
        <f t="shared" si="104"/>
        <v/>
      </c>
      <c r="BE108" s="45" t="str">
        <f t="shared" si="116"/>
        <v/>
      </c>
      <c r="BF108" s="45" t="str">
        <f t="shared" si="68"/>
        <v/>
      </c>
      <c r="BG108" s="45" t="str">
        <f t="shared" si="105"/>
        <v/>
      </c>
      <c r="BH108" s="45"/>
      <c r="BI108" s="45">
        <f t="shared" si="106"/>
        <v>-2000</v>
      </c>
      <c r="BJ108" s="45">
        <f t="shared" si="107"/>
        <v>0.84532792561925518</v>
      </c>
      <c r="BK108" s="45">
        <f t="shared" si="108"/>
        <v>5.4652911910806452</v>
      </c>
      <c r="BL108" s="45">
        <f t="shared" si="109"/>
        <v>1.6984174031149002</v>
      </c>
      <c r="BM108" s="45">
        <f t="shared" si="117"/>
        <v>-3396.8348062298005</v>
      </c>
      <c r="BN108" s="45">
        <f t="shared" si="70"/>
        <v>4000000</v>
      </c>
      <c r="BO108" s="45">
        <f t="shared" si="110"/>
        <v>2.8846216752035612</v>
      </c>
      <c r="BP108" s="45"/>
      <c r="BQ108" s="45"/>
      <c r="BR108" s="50">
        <f>IF(B9="","",F108)</f>
        <v>-2000</v>
      </c>
      <c r="BS108" s="50">
        <f>IF(B9="","",BJ108)</f>
        <v>0.84532792561925518</v>
      </c>
      <c r="BT108" s="50">
        <f t="shared" si="111"/>
        <v>5.4652911910806452</v>
      </c>
      <c r="BU108" s="50">
        <f t="shared" si="112"/>
        <v>1.6984174031149002</v>
      </c>
      <c r="BV108" s="50">
        <f t="shared" si="71"/>
        <v>-3396.8348062298005</v>
      </c>
      <c r="BW108" s="50">
        <f t="shared" si="72"/>
        <v>4000000</v>
      </c>
      <c r="BX108" s="50">
        <f t="shared" si="113"/>
        <v>2.8846216752035612</v>
      </c>
      <c r="BY108" s="45"/>
      <c r="BZ108" s="72"/>
      <c r="CA108" s="72"/>
      <c r="CB108" s="72"/>
      <c r="CC108" s="72"/>
      <c r="CD108" s="72"/>
      <c r="CE108" s="72"/>
      <c r="CF108" s="72"/>
      <c r="CG108" s="72"/>
      <c r="CH108" s="72"/>
      <c r="CI108" s="72"/>
      <c r="CJ108" s="72"/>
      <c r="CK108" s="70"/>
      <c r="CL108" s="70"/>
    </row>
    <row r="109" spans="1:90" s="62" customFormat="1" x14ac:dyDescent="0.3">
      <c r="A109" s="45"/>
      <c r="B109" s="45"/>
      <c r="C109" s="45" t="s">
        <v>4</v>
      </c>
      <c r="D109" s="45"/>
      <c r="E109" s="45"/>
      <c r="F109" s="45">
        <f>IF(Q6=1,F113,-F113)</f>
        <v>-12976.923076923076</v>
      </c>
      <c r="G109" s="48">
        <f>IF(P7=1,G111,G112)</f>
        <v>-10105.694442819604</v>
      </c>
      <c r="H109" s="46"/>
      <c r="I109" s="45"/>
      <c r="J109" s="45">
        <f>IF(Q6=1,J113,J113)</f>
        <v>12976.923076923076</v>
      </c>
      <c r="K109" s="45">
        <f>IF(P7=1,K111,K112)</f>
        <v>15848.151711026549</v>
      </c>
      <c r="L109" s="45"/>
      <c r="M109" s="45"/>
      <c r="N109" s="46"/>
      <c r="O109" s="69"/>
      <c r="P109" s="67"/>
      <c r="Q109" s="69"/>
      <c r="R109" s="69"/>
      <c r="S109" s="45"/>
      <c r="T109" s="45">
        <f t="shared" ref="T109:Y109" si="118">SUM(T9:T108)</f>
        <v>88.395122221399802</v>
      </c>
      <c r="U109" s="45">
        <f t="shared" si="118"/>
        <v>-28.400389040131298</v>
      </c>
      <c r="V109" s="45">
        <f t="shared" si="118"/>
        <v>-29.015575109416012</v>
      </c>
      <c r="W109" s="48">
        <f t="shared" si="118"/>
        <v>63.388740486596525</v>
      </c>
      <c r="X109" s="48">
        <f t="shared" si="118"/>
        <v>62.044777120959864</v>
      </c>
      <c r="Y109" s="48">
        <f t="shared" si="118"/>
        <v>64.761815690682525</v>
      </c>
      <c r="Z109" s="48"/>
      <c r="AA109" s="58"/>
      <c r="AB109" s="45">
        <f t="shared" ref="AB109:AG109" si="119">SUM(AB9:AB108)</f>
        <v>88.395122221399802</v>
      </c>
      <c r="AC109" s="45">
        <f t="shared" si="119"/>
        <v>-28.400389040131298</v>
      </c>
      <c r="AD109" s="45">
        <f t="shared" si="119"/>
        <v>-29.015575109416012</v>
      </c>
      <c r="AE109" s="45">
        <f t="shared" si="119"/>
        <v>63.388740486596525</v>
      </c>
      <c r="AF109" s="45">
        <f t="shared" si="119"/>
        <v>62.044777120959864</v>
      </c>
      <c r="AG109" s="45">
        <f t="shared" si="119"/>
        <v>64.761815690682525</v>
      </c>
      <c r="AH109" s="45"/>
      <c r="AI109" s="45"/>
      <c r="AJ109" s="45">
        <f t="shared" ref="AJ109:AO109" si="120">SUM(AJ9:AJ108)</f>
        <v>95.098532858767669</v>
      </c>
      <c r="AK109" s="45">
        <f t="shared" si="120"/>
        <v>-12.974062241982724</v>
      </c>
      <c r="AL109" s="45">
        <f t="shared" si="120"/>
        <v>-7.6149808283479068</v>
      </c>
      <c r="AM109" s="45">
        <f t="shared" si="120"/>
        <v>14.744415630323534</v>
      </c>
      <c r="AN109" s="45">
        <f t="shared" si="120"/>
        <v>26.926078651639003</v>
      </c>
      <c r="AO109" s="45">
        <f t="shared" si="120"/>
        <v>8.1149769927826974</v>
      </c>
      <c r="AP109" s="45"/>
      <c r="AQ109" s="45"/>
      <c r="AR109" s="45">
        <f t="shared" ref="AR109:AW109" si="121">SUM(AR9:AR108)</f>
        <v>92.121848463529034</v>
      </c>
      <c r="AS109" s="45">
        <f t="shared" si="121"/>
        <v>-12.974062241982724</v>
      </c>
      <c r="AT109" s="45">
        <f t="shared" si="121"/>
        <v>-15.59171432459779</v>
      </c>
      <c r="AU109" s="45">
        <f t="shared" si="121"/>
        <v>27.128957698472494</v>
      </c>
      <c r="AV109" s="45">
        <f t="shared" si="121"/>
        <v>26.926078651639003</v>
      </c>
      <c r="AW109" s="45">
        <f t="shared" si="121"/>
        <v>28.343184941193982</v>
      </c>
      <c r="AX109" s="45"/>
      <c r="AY109" s="45"/>
      <c r="AZ109" s="45"/>
      <c r="BA109" s="45">
        <f>SUM(BA9:BA108)</f>
        <v>-260000</v>
      </c>
      <c r="BB109" s="45"/>
      <c r="BC109" s="45"/>
      <c r="BD109" s="45">
        <f>SUM(BD9:BD108)</f>
        <v>-27.53976527303055</v>
      </c>
      <c r="BE109" s="45">
        <f>SUM(BE9:BE108)</f>
        <v>550795.30546061078</v>
      </c>
      <c r="BF109" s="45">
        <f>SUM(BF9:BF108)</f>
        <v>5200000000</v>
      </c>
      <c r="BG109" s="45">
        <f>SUM(BG9:BG108)</f>
        <v>58.341436253355333</v>
      </c>
      <c r="BH109" s="45"/>
      <c r="BI109" s="45">
        <f>SUM(BI103:BI108)</f>
        <v>-47900</v>
      </c>
      <c r="BJ109" s="45"/>
      <c r="BK109" s="45"/>
      <c r="BL109" s="45">
        <f>SUM(BL103:BL108)</f>
        <v>2.6472084165537848</v>
      </c>
      <c r="BM109" s="45">
        <f>SUM(BM103:BM108)</f>
        <v>-1111.4503060328584</v>
      </c>
      <c r="BN109" s="45">
        <f>SUM(BN103:BN108)</f>
        <v>479610000</v>
      </c>
      <c r="BO109" s="45">
        <f>SUM(BO103:BO108)</f>
        <v>5.2932896239663219</v>
      </c>
      <c r="BP109" s="45"/>
      <c r="BQ109" s="45"/>
      <c r="BR109" s="45">
        <f>SUM(BR9:BR108)</f>
        <v>-168700</v>
      </c>
      <c r="BS109" s="45"/>
      <c r="BT109" s="45"/>
      <c r="BU109" s="45">
        <f>SUM(BU9:BU108)</f>
        <v>-7.8197235885336269</v>
      </c>
      <c r="BV109" s="45">
        <f>SUM(BV9:BV108)</f>
        <v>185532.99646754249</v>
      </c>
      <c r="BW109" s="45">
        <f>SUM(BW9:BW108)</f>
        <v>2591310000</v>
      </c>
      <c r="BX109" s="45">
        <f>SUM(BX9:BX108)</f>
        <v>22.283249614144726</v>
      </c>
      <c r="BY109" s="45"/>
      <c r="BZ109" s="43"/>
      <c r="CA109" s="43"/>
      <c r="CB109" s="43"/>
      <c r="CC109" s="43"/>
      <c r="CD109" s="43"/>
      <c r="CE109" s="43"/>
      <c r="CF109" s="43"/>
      <c r="CG109" s="43"/>
      <c r="CH109" s="43"/>
      <c r="CI109" s="43"/>
      <c r="CJ109" s="43"/>
      <c r="CK109" s="63"/>
      <c r="CL109" s="63"/>
    </row>
    <row r="110" spans="1:90" s="62" customFormat="1" x14ac:dyDescent="0.3">
      <c r="A110" s="45"/>
      <c r="B110" s="45"/>
      <c r="C110" s="45" t="s">
        <v>28</v>
      </c>
      <c r="D110" s="45"/>
      <c r="E110" s="45"/>
      <c r="F110" s="45">
        <f>_xlfn.STDEV.S(B9:B108)</f>
        <v>5788.6604446615938</v>
      </c>
      <c r="G110" s="45">
        <f>(F110*N110)</f>
        <v>7973.3435501781523</v>
      </c>
      <c r="H110" s="48" t="s">
        <v>89</v>
      </c>
      <c r="I110" s="45"/>
      <c r="J110" s="45">
        <f>_xlfn.STDEV.S(B9:B108)</f>
        <v>5788.6604446615938</v>
      </c>
      <c r="K110" s="45">
        <f>(J110*N110)</f>
        <v>7973.3435501781523</v>
      </c>
      <c r="L110" s="45"/>
      <c r="M110" s="45"/>
      <c r="N110" s="57">
        <f>(G115-G116)/G117</f>
        <v>1.3774073684925348</v>
      </c>
      <c r="O110" s="69"/>
      <c r="P110" s="67"/>
      <c r="Q110" s="69"/>
      <c r="R110" s="67"/>
      <c r="S110" s="45"/>
      <c r="T110" s="45"/>
      <c r="U110" s="48" t="s">
        <v>46</v>
      </c>
      <c r="V110" s="48" t="s">
        <v>30</v>
      </c>
      <c r="W110" s="48" t="s">
        <v>29</v>
      </c>
      <c r="X110" s="48" t="s">
        <v>48</v>
      </c>
      <c r="Y110" s="48" t="s">
        <v>49</v>
      </c>
      <c r="Z110" s="48"/>
      <c r="AA110" s="45"/>
      <c r="AB110" s="45"/>
      <c r="AC110" s="45" t="s">
        <v>46</v>
      </c>
      <c r="AD110" s="45" t="s">
        <v>30</v>
      </c>
      <c r="AE110" s="45" t="s">
        <v>29</v>
      </c>
      <c r="AF110" s="45" t="s">
        <v>48</v>
      </c>
      <c r="AG110" s="45" t="s">
        <v>49</v>
      </c>
      <c r="AH110" s="45"/>
      <c r="AI110" s="45"/>
      <c r="AJ110" s="45"/>
      <c r="AK110" s="45" t="s">
        <v>46</v>
      </c>
      <c r="AL110" s="45" t="s">
        <v>30</v>
      </c>
      <c r="AM110" s="45" t="s">
        <v>29</v>
      </c>
      <c r="AN110" s="45" t="s">
        <v>48</v>
      </c>
      <c r="AO110" s="45" t="s">
        <v>49</v>
      </c>
      <c r="AP110" s="45"/>
      <c r="AQ110" s="45"/>
      <c r="AR110" s="45"/>
      <c r="AS110" s="45" t="s">
        <v>46</v>
      </c>
      <c r="AT110" s="45" t="s">
        <v>30</v>
      </c>
      <c r="AU110" s="45" t="s">
        <v>29</v>
      </c>
      <c r="AV110" s="45" t="s">
        <v>48</v>
      </c>
      <c r="AW110" s="45" t="s">
        <v>49</v>
      </c>
      <c r="AX110" s="45"/>
      <c r="AY110" s="45"/>
      <c r="AZ110" s="45"/>
      <c r="BA110" s="45">
        <f>(BA109^2)</f>
        <v>67600000000</v>
      </c>
      <c r="BB110" s="45"/>
      <c r="BC110" s="45"/>
      <c r="BD110" s="45">
        <f>(BD109^2)</f>
        <v>758.43867129361945</v>
      </c>
      <c r="BE110" s="45"/>
      <c r="BF110" s="45"/>
      <c r="BG110" s="45"/>
      <c r="BH110" s="45"/>
      <c r="BI110" s="45">
        <f>(BI109^2)</f>
        <v>2294410000</v>
      </c>
      <c r="BJ110" s="45"/>
      <c r="BK110" s="45"/>
      <c r="BL110" s="45">
        <f>(BL109^2)</f>
        <v>7.0077124006731966</v>
      </c>
      <c r="BM110" s="45"/>
      <c r="BN110" s="45"/>
      <c r="BO110" s="45"/>
      <c r="BP110" s="45"/>
      <c r="BQ110" s="45"/>
      <c r="BR110" s="45">
        <f>(BR109^2)</f>
        <v>28459690000</v>
      </c>
      <c r="BS110" s="45"/>
      <c r="BT110" s="45"/>
      <c r="BU110" s="45">
        <f>(BU109^2)</f>
        <v>61.148077001069225</v>
      </c>
      <c r="BV110" s="45"/>
      <c r="BW110" s="45"/>
      <c r="BX110" s="45"/>
      <c r="BY110" s="45"/>
      <c r="BZ110" s="43"/>
      <c r="CA110" s="43"/>
      <c r="CB110" s="43"/>
      <c r="CC110" s="43"/>
      <c r="CD110" s="43"/>
      <c r="CE110" s="43"/>
      <c r="CF110" s="43"/>
      <c r="CG110" s="43"/>
      <c r="CH110" s="43"/>
      <c r="CI110" s="43"/>
      <c r="CJ110" s="43"/>
      <c r="CK110" s="63"/>
      <c r="CL110" s="63"/>
    </row>
    <row r="111" spans="1:90" s="62" customFormat="1" x14ac:dyDescent="0.3">
      <c r="A111" s="45"/>
      <c r="B111" s="45"/>
      <c r="C111" s="45" t="s">
        <v>0</v>
      </c>
      <c r="D111" s="45"/>
      <c r="E111" s="45"/>
      <c r="F111" s="45">
        <f>COUNTIF(A9:A108,"&lt;&gt;")-COUNTIF(A9:A108,0)</f>
        <v>13</v>
      </c>
      <c r="G111" s="54">
        <f>(F109-G116*F110)</f>
        <v>-15848.151711026549</v>
      </c>
      <c r="H111" s="46"/>
      <c r="I111" s="45"/>
      <c r="J111" s="45">
        <f>COUNTIF(A9:A108,"&lt;&gt;")-COUNTIF(A9:A108,0)</f>
        <v>13</v>
      </c>
      <c r="K111" s="45">
        <f>(J109-G116*J110)</f>
        <v>10105.694442819604</v>
      </c>
      <c r="L111" s="45"/>
      <c r="M111" s="45"/>
      <c r="N111" s="46"/>
      <c r="O111" s="69"/>
      <c r="P111" s="67"/>
      <c r="Q111" s="69"/>
      <c r="R111" s="67"/>
      <c r="S111" s="45"/>
      <c r="T111" s="45">
        <f>(T109^2)</f>
        <v>7813.6976325362093</v>
      </c>
      <c r="U111" s="45">
        <f>(U109)^2</f>
        <v>806.58209763080993</v>
      </c>
      <c r="V111" s="45">
        <f>(V109)^2</f>
        <v>841.90359893016205</v>
      </c>
      <c r="W111" s="48"/>
      <c r="X111" s="45"/>
      <c r="Y111" s="45"/>
      <c r="Z111" s="45"/>
      <c r="AA111" s="45"/>
      <c r="AB111" s="45">
        <f>(AB109^2)</f>
        <v>7813.6976325362093</v>
      </c>
      <c r="AC111" s="45">
        <f>(AC109)^2</f>
        <v>806.58209763080993</v>
      </c>
      <c r="AD111" s="45">
        <f>(AD109)^2</f>
        <v>841.90359893016205</v>
      </c>
      <c r="AE111" s="45"/>
      <c r="AF111" s="45"/>
      <c r="AG111" s="45"/>
      <c r="AH111" s="45"/>
      <c r="AI111" s="45"/>
      <c r="AJ111" s="45">
        <f>(AJ109^2)</f>
        <v>9043.7309518901147</v>
      </c>
      <c r="AK111" s="45">
        <f>(AK109)^2</f>
        <v>168.32629105884178</v>
      </c>
      <c r="AL111" s="45">
        <f>(AL109)^2</f>
        <v>57.987933016106176</v>
      </c>
      <c r="AM111" s="45"/>
      <c r="AN111" s="45"/>
      <c r="AO111" s="45"/>
      <c r="AP111" s="45"/>
      <c r="AQ111" s="45"/>
      <c r="AR111" s="45">
        <f>(AR109^2)</f>
        <v>8486.4349643374062</v>
      </c>
      <c r="AS111" s="45">
        <f>(AS109)^2</f>
        <v>168.32629105884178</v>
      </c>
      <c r="AT111" s="45">
        <f>(AT109)^2</f>
        <v>243.10155557986792</v>
      </c>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3"/>
      <c r="CA111" s="43"/>
      <c r="CB111" s="43"/>
      <c r="CC111" s="43"/>
      <c r="CD111" s="43"/>
      <c r="CE111" s="43"/>
      <c r="CF111" s="43"/>
      <c r="CG111" s="43"/>
      <c r="CH111" s="43"/>
      <c r="CI111" s="43"/>
      <c r="CJ111" s="43"/>
      <c r="CK111" s="63"/>
      <c r="CL111" s="63"/>
    </row>
    <row r="112" spans="1:90" s="62" customFormat="1" ht="15" x14ac:dyDescent="0.3">
      <c r="A112" s="45"/>
      <c r="B112" s="45"/>
      <c r="C112" s="45"/>
      <c r="D112" s="45"/>
      <c r="E112" s="45"/>
      <c r="F112" s="55" t="s">
        <v>60</v>
      </c>
      <c r="G112" s="54">
        <f>(F109+G116*F110)</f>
        <v>-10105.694442819604</v>
      </c>
      <c r="H112" s="46"/>
      <c r="I112" s="45"/>
      <c r="J112" s="45" t="s">
        <v>60</v>
      </c>
      <c r="K112" s="45">
        <f>(J109+G116*J110)</f>
        <v>15848.151711026549</v>
      </c>
      <c r="L112" s="45"/>
      <c r="M112" s="45"/>
      <c r="N112" s="45"/>
      <c r="O112" s="69"/>
      <c r="P112" s="67"/>
      <c r="Q112" s="69"/>
      <c r="R112" s="67"/>
      <c r="S112" s="45"/>
      <c r="T112" s="45"/>
      <c r="U112" s="48" t="s">
        <v>47</v>
      </c>
      <c r="V112" s="48" t="s">
        <v>31</v>
      </c>
      <c r="W112" s="45"/>
      <c r="X112" s="45"/>
      <c r="Y112" s="45"/>
      <c r="Z112" s="45"/>
      <c r="AA112" s="45"/>
      <c r="AB112" s="45"/>
      <c r="AC112" s="45" t="s">
        <v>47</v>
      </c>
      <c r="AD112" s="45" t="s">
        <v>31</v>
      </c>
      <c r="AE112" s="45"/>
      <c r="AF112" s="45"/>
      <c r="AG112" s="45"/>
      <c r="AH112" s="45"/>
      <c r="AI112" s="45"/>
      <c r="AJ112" s="45"/>
      <c r="AK112" s="45" t="s">
        <v>47</v>
      </c>
      <c r="AL112" s="45" t="s">
        <v>31</v>
      </c>
      <c r="AM112" s="45"/>
      <c r="AN112" s="45"/>
      <c r="AO112" s="45"/>
      <c r="AP112" s="45"/>
      <c r="AQ112" s="45"/>
      <c r="AR112" s="45"/>
      <c r="AS112" s="45" t="s">
        <v>47</v>
      </c>
      <c r="AT112" s="45" t="s">
        <v>31</v>
      </c>
      <c r="AU112" s="45"/>
      <c r="AV112" s="45"/>
      <c r="AW112" s="45"/>
      <c r="AX112" s="45"/>
      <c r="AY112" s="45"/>
      <c r="AZ112" s="45" t="s">
        <v>68</v>
      </c>
      <c r="BA112" s="45" t="e">
        <f>(((F111*BE109)-(BA109*BD109))/(F111*BF109-BA110))</f>
        <v>#DIV/0!</v>
      </c>
      <c r="BB112" s="45"/>
      <c r="BC112" s="45"/>
      <c r="BD112" s="45"/>
      <c r="BE112" s="45"/>
      <c r="BF112" s="45"/>
      <c r="BG112" s="45"/>
      <c r="BH112" s="45" t="s">
        <v>68</v>
      </c>
      <c r="BI112" s="45">
        <f>(((6*BM109)-(BI109*BL109))/(6*BN109-BI110))</f>
        <v>2.0597099239902123E-4</v>
      </c>
      <c r="BJ112" s="45"/>
      <c r="BK112" s="45"/>
      <c r="BL112" s="45"/>
      <c r="BM112" s="45"/>
      <c r="BN112" s="45"/>
      <c r="BO112" s="45"/>
      <c r="BP112" s="45"/>
      <c r="BQ112" s="45" t="s">
        <v>68</v>
      </c>
      <c r="BR112" s="45">
        <f>(((F111*BV109)-(BR109*BU109))/(F111*BW109-BR110))</f>
        <v>2.0904352590274007E-4</v>
      </c>
      <c r="BS112" s="45"/>
      <c r="BT112" s="45"/>
      <c r="BU112" s="45"/>
      <c r="BV112" s="45"/>
      <c r="BW112" s="45"/>
      <c r="BX112" s="45"/>
      <c r="BY112" s="45"/>
      <c r="BZ112" s="43"/>
      <c r="CA112" s="43"/>
      <c r="CB112" s="43"/>
      <c r="CC112" s="43"/>
      <c r="CD112" s="43"/>
      <c r="CE112" s="43"/>
      <c r="CF112" s="43"/>
      <c r="CG112" s="43"/>
      <c r="CH112" s="43"/>
      <c r="CI112" s="43"/>
      <c r="CJ112" s="43"/>
      <c r="CK112" s="63"/>
      <c r="CL112" s="63"/>
    </row>
    <row r="113" spans="1:90" s="62" customFormat="1" x14ac:dyDescent="0.3">
      <c r="A113" s="45"/>
      <c r="B113" s="45"/>
      <c r="C113" s="45"/>
      <c r="D113" s="45"/>
      <c r="E113" s="45"/>
      <c r="F113" s="45">
        <f>AVERAGE(B9:B108)</f>
        <v>12976.923076923076</v>
      </c>
      <c r="G113" s="45"/>
      <c r="H113" s="46"/>
      <c r="I113" s="45"/>
      <c r="J113" s="45">
        <f>AVERAGE(B9:B108)</f>
        <v>12976.923076923076</v>
      </c>
      <c r="K113" s="45"/>
      <c r="L113" s="45"/>
      <c r="M113" s="45"/>
      <c r="N113" s="45"/>
      <c r="O113" s="67"/>
      <c r="P113" s="67"/>
      <c r="Q113" s="67"/>
      <c r="R113" s="67"/>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3"/>
      <c r="CA113" s="43"/>
      <c r="CB113" s="43"/>
      <c r="CC113" s="43"/>
      <c r="CD113" s="43"/>
      <c r="CE113" s="43"/>
      <c r="CF113" s="43"/>
      <c r="CG113" s="43"/>
      <c r="CH113" s="43"/>
      <c r="CI113" s="43"/>
      <c r="CJ113" s="43"/>
      <c r="CK113" s="63"/>
      <c r="CL113" s="63"/>
    </row>
    <row r="114" spans="1:90" s="62" customFormat="1" x14ac:dyDescent="0.3">
      <c r="A114" s="45"/>
      <c r="B114" s="45"/>
      <c r="C114" s="45"/>
      <c r="D114" s="45"/>
      <c r="E114" s="45"/>
      <c r="F114" s="48"/>
      <c r="G114" s="45"/>
      <c r="H114" s="45"/>
      <c r="I114" s="45"/>
      <c r="J114" s="45"/>
      <c r="K114" s="45"/>
      <c r="L114" s="45"/>
      <c r="M114" s="45"/>
      <c r="N114" s="45"/>
      <c r="O114" s="67"/>
      <c r="P114" s="67"/>
      <c r="Q114" s="67"/>
      <c r="R114" s="67"/>
      <c r="S114" s="45" t="s">
        <v>32</v>
      </c>
      <c r="T114" s="45"/>
      <c r="U114" s="45" t="s">
        <v>36</v>
      </c>
      <c r="V114" s="45"/>
      <c r="W114" s="45">
        <f>(2.71828184^((V109-(T117*U109))/F111))</f>
        <v>0.97661690043458005</v>
      </c>
      <c r="X114" s="45"/>
      <c r="Y114" s="45"/>
      <c r="Z114" s="45"/>
      <c r="AA114" s="45" t="s">
        <v>32</v>
      </c>
      <c r="AB114" s="45"/>
      <c r="AC114" s="45" t="s">
        <v>36</v>
      </c>
      <c r="AD114" s="45"/>
      <c r="AE114" s="45">
        <f>(2.71828184^((AD109-(AB117*AC109))/F111))</f>
        <v>0.97661690043458005</v>
      </c>
      <c r="AF114" s="45"/>
      <c r="AG114" s="45"/>
      <c r="AH114" s="45"/>
      <c r="AI114" s="45" t="s">
        <v>32</v>
      </c>
      <c r="AJ114" s="45"/>
      <c r="AK114" s="45" t="s">
        <v>36</v>
      </c>
      <c r="AL114" s="45"/>
      <c r="AM114" s="45">
        <f>(2.71828184^((AL109-(AJ117*AK109))/J111))</f>
        <v>0.92714045240480158</v>
      </c>
      <c r="AN114" s="45"/>
      <c r="AO114" s="45"/>
      <c r="AP114" s="45"/>
      <c r="AQ114" s="45" t="s">
        <v>32</v>
      </c>
      <c r="AR114" s="45"/>
      <c r="AS114" s="45" t="s">
        <v>36</v>
      </c>
      <c r="AT114" s="45"/>
      <c r="AU114" s="45">
        <f>(2.71828184^((AT109-(AR117*AS109))/J111))</f>
        <v>0.68839206887004745</v>
      </c>
      <c r="AV114" s="45"/>
      <c r="AW114" s="45"/>
      <c r="AX114" s="45"/>
      <c r="AY114" s="45"/>
      <c r="AZ114" s="45" t="s">
        <v>69</v>
      </c>
      <c r="BA114" s="45" t="e">
        <f>(BD109-BA112*BA109)/F111</f>
        <v>#DIV/0!</v>
      </c>
      <c r="BB114" s="45"/>
      <c r="BC114" s="45"/>
      <c r="BD114" s="45"/>
      <c r="BE114" s="45"/>
      <c r="BF114" s="45"/>
      <c r="BG114" s="45"/>
      <c r="BH114" s="45" t="s">
        <v>69</v>
      </c>
      <c r="BI114" s="45">
        <f>(BL109-BI112*BI109)/6</f>
        <v>2.085536492077817</v>
      </c>
      <c r="BJ114" s="45"/>
      <c r="BK114" s="45"/>
      <c r="BL114" s="45"/>
      <c r="BM114" s="45"/>
      <c r="BN114" s="45"/>
      <c r="BO114" s="45"/>
      <c r="BP114" s="45"/>
      <c r="BQ114" s="45" t="s">
        <v>69</v>
      </c>
      <c r="BR114" s="45">
        <f>(BU109-BR112*BR109)/F111</f>
        <v>2.1112245562506633</v>
      </c>
      <c r="BS114" s="45"/>
      <c r="BT114" s="45"/>
      <c r="BU114" s="45"/>
      <c r="BV114" s="45"/>
      <c r="BW114" s="45"/>
      <c r="BX114" s="45"/>
      <c r="BY114" s="45"/>
      <c r="BZ114" s="43"/>
      <c r="CA114" s="43"/>
      <c r="CB114" s="43"/>
      <c r="CC114" s="43"/>
      <c r="CD114" s="43"/>
      <c r="CE114" s="43"/>
      <c r="CF114" s="43"/>
      <c r="CG114" s="43"/>
      <c r="CH114" s="43"/>
      <c r="CI114" s="43"/>
      <c r="CJ114" s="43"/>
      <c r="CK114" s="63"/>
      <c r="CL114" s="63"/>
    </row>
    <row r="115" spans="1:90" s="62" customFormat="1" x14ac:dyDescent="0.3">
      <c r="A115" s="45"/>
      <c r="B115" s="45"/>
      <c r="C115" s="45" t="s">
        <v>19</v>
      </c>
      <c r="D115" s="45"/>
      <c r="E115" s="45"/>
      <c r="F115" s="45" t="s">
        <v>10</v>
      </c>
      <c r="G115" s="45">
        <f>(2.71828184^(1.520026*(LN(ABS(LN(F111))))^-0.422153))</f>
        <v>4.7535753410930601</v>
      </c>
      <c r="H115" s="56" t="s">
        <v>6</v>
      </c>
      <c r="I115" s="45"/>
      <c r="J115" s="45" t="s">
        <v>10</v>
      </c>
      <c r="K115" s="45" t="s">
        <v>6</v>
      </c>
      <c r="L115" s="45"/>
      <c r="M115" s="45"/>
      <c r="N115" s="45" t="s">
        <v>8</v>
      </c>
      <c r="O115" s="67"/>
      <c r="P115" s="67"/>
      <c r="Q115" s="67"/>
      <c r="R115" s="67"/>
      <c r="S115" s="45" t="s">
        <v>33</v>
      </c>
      <c r="T115" s="45">
        <f>((F111)*W109-U109*V109)</f>
        <v>4.995189897272212E-6</v>
      </c>
      <c r="U115" s="45"/>
      <c r="V115" s="45"/>
      <c r="W115" s="45"/>
      <c r="X115" s="45"/>
      <c r="Y115" s="45"/>
      <c r="Z115" s="45"/>
      <c r="AA115" s="45" t="s">
        <v>33</v>
      </c>
      <c r="AB115" s="45">
        <f>((F111)*AE109-AC109*AD109)</f>
        <v>4.995189897272212E-6</v>
      </c>
      <c r="AC115" s="45"/>
      <c r="AD115" s="45"/>
      <c r="AE115" s="45"/>
      <c r="AF115" s="45"/>
      <c r="AG115" s="45"/>
      <c r="AH115" s="45"/>
      <c r="AI115" s="45" t="s">
        <v>33</v>
      </c>
      <c r="AJ115" s="45">
        <f>((F111)*AM109-AK109*AL109)</f>
        <v>92.880167955715038</v>
      </c>
      <c r="AK115" s="45"/>
      <c r="AL115" s="45"/>
      <c r="AM115" s="45"/>
      <c r="AN115" s="45"/>
      <c r="AO115" s="45"/>
      <c r="AP115" s="45"/>
      <c r="AQ115" s="45" t="s">
        <v>33</v>
      </c>
      <c r="AR115" s="45">
        <f>((F111)*AU109-AS109*AT109)</f>
        <v>150.38857797359708</v>
      </c>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3"/>
      <c r="CA115" s="43"/>
      <c r="CB115" s="43"/>
      <c r="CC115" s="43"/>
      <c r="CD115" s="43"/>
      <c r="CE115" s="43"/>
      <c r="CF115" s="43"/>
      <c r="CG115" s="43"/>
      <c r="CH115" s="43"/>
      <c r="CI115" s="43"/>
      <c r="CJ115" s="43"/>
      <c r="CK115" s="63"/>
      <c r="CL115" s="63"/>
    </row>
    <row r="116" spans="1:90" s="62" customFormat="1" x14ac:dyDescent="0.3">
      <c r="A116" s="45"/>
      <c r="B116" s="45"/>
      <c r="C116" s="45" t="s">
        <v>20</v>
      </c>
      <c r="D116" s="45"/>
      <c r="E116" s="45"/>
      <c r="F116" s="45" t="s">
        <v>10</v>
      </c>
      <c r="G116" s="45">
        <f>(1.924974*((F111)^-0.528694))</f>
        <v>0.49600916508263493</v>
      </c>
      <c r="H116" s="45" t="s">
        <v>7</v>
      </c>
      <c r="I116" s="45"/>
      <c r="J116" s="45" t="s">
        <v>10</v>
      </c>
      <c r="K116" s="45" t="s">
        <v>7</v>
      </c>
      <c r="L116" s="45"/>
      <c r="M116" s="45"/>
      <c r="N116" s="45" t="s">
        <v>9</v>
      </c>
      <c r="O116" s="67"/>
      <c r="P116" s="67"/>
      <c r="Q116" s="67"/>
      <c r="R116" s="67"/>
      <c r="S116" s="45" t="s">
        <v>34</v>
      </c>
      <c r="T116" s="45">
        <f>((F111)*X109-U111)</f>
        <v>4.9416682941227918E-6</v>
      </c>
      <c r="U116" s="45"/>
      <c r="V116" s="45"/>
      <c r="W116" s="45"/>
      <c r="X116" s="45"/>
      <c r="Y116" s="45"/>
      <c r="Z116" s="45"/>
      <c r="AA116" s="45" t="s">
        <v>34</v>
      </c>
      <c r="AB116" s="45">
        <f>((F111)*AF109-AC111)</f>
        <v>4.9416682941227918E-6</v>
      </c>
      <c r="AC116" s="45"/>
      <c r="AD116" s="45"/>
      <c r="AE116" s="45"/>
      <c r="AF116" s="45"/>
      <c r="AG116" s="45"/>
      <c r="AH116" s="45"/>
      <c r="AI116" s="45" t="s">
        <v>34</v>
      </c>
      <c r="AJ116" s="45">
        <f>((F111)*AN109-AK111)</f>
        <v>181.71273141246525</v>
      </c>
      <c r="AK116" s="45"/>
      <c r="AL116" s="45"/>
      <c r="AM116" s="45"/>
      <c r="AN116" s="45"/>
      <c r="AO116" s="45"/>
      <c r="AP116" s="45"/>
      <c r="AQ116" s="45" t="s">
        <v>34</v>
      </c>
      <c r="AR116" s="45">
        <f>((F111)*AV109-AS111)</f>
        <v>181.71273141246525</v>
      </c>
      <c r="AS116" s="45"/>
      <c r="AT116" s="45"/>
      <c r="AU116" s="45"/>
      <c r="AV116" s="45"/>
      <c r="AW116" s="45"/>
      <c r="AX116" s="45"/>
      <c r="AY116" s="45"/>
      <c r="AZ116" s="45" t="s">
        <v>70</v>
      </c>
      <c r="BA116" s="60" t="e">
        <f>(BA118)/BA125</f>
        <v>#DIV/0!</v>
      </c>
      <c r="BB116" s="45"/>
      <c r="BC116" s="45"/>
      <c r="BD116" s="45"/>
      <c r="BE116" s="45"/>
      <c r="BF116" s="45"/>
      <c r="BG116" s="45"/>
      <c r="BH116" s="45" t="s">
        <v>70</v>
      </c>
      <c r="BI116" s="45">
        <f>(BI118)/BI125</f>
        <v>0.99983437660709074</v>
      </c>
      <c r="BJ116" s="45"/>
      <c r="BK116" s="45"/>
      <c r="BL116" s="45"/>
      <c r="BM116" s="45"/>
      <c r="BN116" s="45"/>
      <c r="BO116" s="45"/>
      <c r="BP116" s="45"/>
      <c r="BQ116" s="45" t="s">
        <v>70</v>
      </c>
      <c r="BR116" s="45">
        <f>(BR118)/BR125</f>
        <v>0.99977328124269371</v>
      </c>
      <c r="BS116" s="45"/>
      <c r="BT116" s="45"/>
      <c r="BU116" s="45"/>
      <c r="BV116" s="45"/>
      <c r="BW116" s="45"/>
      <c r="BX116" s="45"/>
      <c r="BY116" s="45"/>
      <c r="BZ116" s="43"/>
      <c r="CA116" s="43"/>
      <c r="CB116" s="43"/>
      <c r="CC116" s="43"/>
      <c r="CD116" s="43"/>
      <c r="CE116" s="43"/>
      <c r="CF116" s="43"/>
      <c r="CG116" s="43"/>
      <c r="CH116" s="43"/>
      <c r="CI116" s="43"/>
      <c r="CJ116" s="43"/>
      <c r="CK116" s="63"/>
      <c r="CL116" s="63"/>
    </row>
    <row r="117" spans="1:90" s="62" customFormat="1" x14ac:dyDescent="0.3">
      <c r="A117" s="45"/>
      <c r="B117" s="45"/>
      <c r="C117" s="45" t="s">
        <v>5</v>
      </c>
      <c r="D117" s="45"/>
      <c r="E117" s="45"/>
      <c r="F117" s="45" t="s">
        <v>1</v>
      </c>
      <c r="G117" s="45">
        <v>3.0910000000000002</v>
      </c>
      <c r="H117" s="45"/>
      <c r="I117" s="45"/>
      <c r="J117" s="45" t="s">
        <v>1</v>
      </c>
      <c r="K117" s="45"/>
      <c r="L117" s="45"/>
      <c r="M117" s="45"/>
      <c r="N117" s="45"/>
      <c r="O117" s="67"/>
      <c r="P117" s="67"/>
      <c r="Q117" s="67"/>
      <c r="R117" s="67"/>
      <c r="S117" s="45" t="s">
        <v>35</v>
      </c>
      <c r="T117" s="45">
        <f>(T115/T116)</f>
        <v>1.0108306749793534</v>
      </c>
      <c r="U117" s="45"/>
      <c r="V117" s="45"/>
      <c r="W117" s="45"/>
      <c r="X117" s="45"/>
      <c r="Y117" s="45"/>
      <c r="Z117" s="45"/>
      <c r="AA117" s="45" t="s">
        <v>35</v>
      </c>
      <c r="AB117" s="45">
        <f>(AB115/AB116)</f>
        <v>1.0108306749793534</v>
      </c>
      <c r="AC117" s="45"/>
      <c r="AD117" s="45"/>
      <c r="AE117" s="45"/>
      <c r="AF117" s="45"/>
      <c r="AG117" s="45"/>
      <c r="AH117" s="45"/>
      <c r="AI117" s="45" t="s">
        <v>35</v>
      </c>
      <c r="AJ117" s="45">
        <f>(AJ115/AJ116)</f>
        <v>0.51113737179421204</v>
      </c>
      <c r="AK117" s="45"/>
      <c r="AL117" s="45"/>
      <c r="AM117" s="45"/>
      <c r="AN117" s="45"/>
      <c r="AO117" s="45"/>
      <c r="AP117" s="45"/>
      <c r="AQ117" s="45" t="s">
        <v>35</v>
      </c>
      <c r="AR117" s="45">
        <f>(AR115/AR116)</f>
        <v>0.82761717797435863</v>
      </c>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3"/>
      <c r="CA117" s="43"/>
      <c r="CB117" s="43"/>
      <c r="CC117" s="43"/>
      <c r="CD117" s="43"/>
      <c r="CE117" s="43"/>
      <c r="CF117" s="43"/>
      <c r="CG117" s="43"/>
      <c r="CH117" s="43"/>
      <c r="CI117" s="43"/>
      <c r="CJ117" s="43"/>
      <c r="CK117" s="63"/>
      <c r="CL117" s="63"/>
    </row>
    <row r="118" spans="1:90" s="62" customFormat="1" x14ac:dyDescent="0.3">
      <c r="A118" s="45"/>
      <c r="B118" s="45"/>
      <c r="C118" s="45" t="s">
        <v>26</v>
      </c>
      <c r="D118" s="45"/>
      <c r="E118" s="45"/>
      <c r="F118" s="45" t="s">
        <v>27</v>
      </c>
      <c r="G118" s="45"/>
      <c r="H118" s="45"/>
      <c r="I118" s="45"/>
      <c r="J118" s="45" t="s">
        <v>27</v>
      </c>
      <c r="K118" s="45"/>
      <c r="L118" s="45"/>
      <c r="M118" s="45"/>
      <c r="N118" s="45"/>
      <c r="O118" s="67"/>
      <c r="P118" s="67"/>
      <c r="Q118" s="67"/>
      <c r="R118" s="67"/>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t="s">
        <v>71</v>
      </c>
      <c r="BA118" s="45">
        <f>(((F111*BE109)-(BA109*BD109))/1)</f>
        <v>-2.7939677238464355E-9</v>
      </c>
      <c r="BB118" s="45"/>
      <c r="BC118" s="45"/>
      <c r="BD118" s="45"/>
      <c r="BE118" s="45"/>
      <c r="BF118" s="45"/>
      <c r="BG118" s="45"/>
      <c r="BH118" s="45" t="s">
        <v>71</v>
      </c>
      <c r="BI118" s="45">
        <f>(((6*BM109)-(BI109*BL109))/1)</f>
        <v>120132.58131672913</v>
      </c>
      <c r="BJ118" s="45"/>
      <c r="BK118" s="45"/>
      <c r="BL118" s="45"/>
      <c r="BM118" s="45"/>
      <c r="BN118" s="45"/>
      <c r="BO118" s="45"/>
      <c r="BP118" s="45"/>
      <c r="BQ118" s="45" t="s">
        <v>71</v>
      </c>
      <c r="BR118" s="45">
        <f>(((F111*BV109)-(BR109*BU109))/1)</f>
        <v>1092741.5846924293</v>
      </c>
      <c r="BS118" s="45"/>
      <c r="BT118" s="45"/>
      <c r="BU118" s="45"/>
      <c r="BV118" s="45"/>
      <c r="BW118" s="45"/>
      <c r="BX118" s="45"/>
      <c r="BY118" s="45"/>
      <c r="BZ118" s="43"/>
      <c r="CA118" s="43"/>
      <c r="CB118" s="43"/>
      <c r="CC118" s="43"/>
      <c r="CD118" s="43"/>
      <c r="CE118" s="43"/>
      <c r="CF118" s="43"/>
      <c r="CG118" s="43"/>
      <c r="CH118" s="43"/>
      <c r="CI118" s="43"/>
      <c r="CJ118" s="43"/>
      <c r="CK118" s="63"/>
      <c r="CL118" s="63"/>
    </row>
    <row r="119" spans="1:90" s="62" customFormat="1" x14ac:dyDescent="0.3">
      <c r="A119" s="45"/>
      <c r="B119" s="45"/>
      <c r="C119" s="45"/>
      <c r="D119" s="45"/>
      <c r="E119" s="45"/>
      <c r="F119" s="45"/>
      <c r="G119" s="45"/>
      <c r="H119" s="45"/>
      <c r="I119" s="45"/>
      <c r="J119" s="45"/>
      <c r="K119" s="45"/>
      <c r="L119" s="45"/>
      <c r="M119" s="45"/>
      <c r="N119" s="45"/>
      <c r="O119" s="67"/>
      <c r="P119" s="67"/>
      <c r="Q119" s="67"/>
      <c r="R119" s="67"/>
      <c r="S119" s="45" t="s">
        <v>37</v>
      </c>
      <c r="T119" s="45"/>
      <c r="U119" s="45"/>
      <c r="V119" s="45"/>
      <c r="W119" s="45"/>
      <c r="X119" s="45"/>
      <c r="Y119" s="45"/>
      <c r="Z119" s="45"/>
      <c r="AA119" s="45" t="s">
        <v>37</v>
      </c>
      <c r="AB119" s="45"/>
      <c r="AC119" s="45"/>
      <c r="AD119" s="45"/>
      <c r="AE119" s="45"/>
      <c r="AF119" s="45"/>
      <c r="AG119" s="45"/>
      <c r="AH119" s="45"/>
      <c r="AI119" s="45" t="s">
        <v>37</v>
      </c>
      <c r="AJ119" s="45"/>
      <c r="AK119" s="45"/>
      <c r="AL119" s="45"/>
      <c r="AM119" s="45"/>
      <c r="AN119" s="45"/>
      <c r="AO119" s="45"/>
      <c r="AP119" s="45"/>
      <c r="AQ119" s="45" t="s">
        <v>37</v>
      </c>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3"/>
      <c r="CA119" s="43"/>
      <c r="CB119" s="43"/>
      <c r="CC119" s="43"/>
      <c r="CD119" s="43"/>
      <c r="CE119" s="43"/>
      <c r="CF119" s="43"/>
      <c r="CG119" s="43"/>
      <c r="CH119" s="43"/>
      <c r="CI119" s="43"/>
      <c r="CJ119" s="43"/>
      <c r="CK119" s="63"/>
      <c r="CL119" s="63"/>
    </row>
    <row r="120" spans="1:90" s="62" customFormat="1" x14ac:dyDescent="0.3">
      <c r="A120" s="45"/>
      <c r="B120" s="45"/>
      <c r="C120" s="45"/>
      <c r="D120" s="45"/>
      <c r="E120" s="45"/>
      <c r="F120" s="45"/>
      <c r="G120" s="45"/>
      <c r="H120" s="45"/>
      <c r="I120" s="45"/>
      <c r="J120" s="45"/>
      <c r="K120" s="45"/>
      <c r="L120" s="45"/>
      <c r="M120" s="45"/>
      <c r="N120" s="45"/>
      <c r="O120" s="67"/>
      <c r="P120" s="67"/>
      <c r="Q120" s="67"/>
      <c r="R120" s="67"/>
      <c r="S120" s="45" t="s">
        <v>38</v>
      </c>
      <c r="T120" s="45">
        <f>(T115)</f>
        <v>4.995189897272212E-6</v>
      </c>
      <c r="U120" s="45"/>
      <c r="V120" s="45"/>
      <c r="W120" s="45"/>
      <c r="X120" s="45"/>
      <c r="Y120" s="45"/>
      <c r="Z120" s="45"/>
      <c r="AA120" s="45" t="s">
        <v>38</v>
      </c>
      <c r="AB120" s="45">
        <f>(AB115)</f>
        <v>4.995189897272212E-6</v>
      </c>
      <c r="AC120" s="45"/>
      <c r="AD120" s="45"/>
      <c r="AE120" s="45"/>
      <c r="AF120" s="45"/>
      <c r="AG120" s="45"/>
      <c r="AH120" s="45"/>
      <c r="AI120" s="45" t="s">
        <v>38</v>
      </c>
      <c r="AJ120" s="45">
        <f>(AJ115)</f>
        <v>92.880167955715038</v>
      </c>
      <c r="AK120" s="45"/>
      <c r="AL120" s="45"/>
      <c r="AM120" s="45"/>
      <c r="AN120" s="45"/>
      <c r="AO120" s="45"/>
      <c r="AP120" s="45"/>
      <c r="AQ120" s="45" t="s">
        <v>38</v>
      </c>
      <c r="AR120" s="45">
        <f>(AR115)</f>
        <v>150.38857797359708</v>
      </c>
      <c r="AS120" s="45"/>
      <c r="AT120" s="45"/>
      <c r="AU120" s="45"/>
      <c r="AV120" s="45"/>
      <c r="AW120" s="45"/>
      <c r="AX120" s="45"/>
      <c r="AY120" s="45"/>
      <c r="AZ120" s="45" t="s">
        <v>72</v>
      </c>
      <c r="BA120" s="45">
        <f>(F111*BF109-BA110)</f>
        <v>0</v>
      </c>
      <c r="BB120" s="45"/>
      <c r="BC120" s="45"/>
      <c r="BD120" s="45"/>
      <c r="BE120" s="45"/>
      <c r="BF120" s="45"/>
      <c r="BG120" s="45"/>
      <c r="BH120" s="45" t="s">
        <v>72</v>
      </c>
      <c r="BI120" s="45">
        <f>ABS(6*BN109-BI110)</f>
        <v>583250000</v>
      </c>
      <c r="BJ120" s="45"/>
      <c r="BK120" s="45"/>
      <c r="BL120" s="45"/>
      <c r="BM120" s="45"/>
      <c r="BN120" s="45"/>
      <c r="BO120" s="45"/>
      <c r="BP120" s="45"/>
      <c r="BQ120" s="45" t="s">
        <v>72</v>
      </c>
      <c r="BR120" s="45">
        <f>ABS(F111*BW109-BR110)</f>
        <v>5227340000</v>
      </c>
      <c r="BS120" s="45"/>
      <c r="BT120" s="45"/>
      <c r="BU120" s="45"/>
      <c r="BV120" s="45"/>
      <c r="BW120" s="45"/>
      <c r="BX120" s="45"/>
      <c r="BY120" s="45"/>
      <c r="BZ120" s="43"/>
      <c r="CA120" s="43"/>
      <c r="CB120" s="43"/>
      <c r="CC120" s="43"/>
      <c r="CD120" s="43"/>
      <c r="CE120" s="43"/>
      <c r="CF120" s="43"/>
      <c r="CG120" s="43"/>
      <c r="CH120" s="43"/>
      <c r="CI120" s="43"/>
      <c r="CJ120" s="43"/>
      <c r="CK120" s="63"/>
      <c r="CL120" s="63"/>
    </row>
    <row r="121" spans="1:90" s="62" customFormat="1" x14ac:dyDescent="0.3">
      <c r="A121" s="43"/>
      <c r="B121" s="43"/>
      <c r="C121" s="43"/>
      <c r="D121" s="43"/>
      <c r="E121" s="43"/>
      <c r="F121" s="43"/>
      <c r="G121" s="43"/>
      <c r="H121" s="43"/>
      <c r="I121" s="43"/>
      <c r="J121" s="43"/>
      <c r="K121" s="43"/>
      <c r="L121" s="43"/>
      <c r="M121" s="43"/>
      <c r="N121" s="45"/>
      <c r="O121" s="67"/>
      <c r="P121" s="67"/>
      <c r="Q121" s="67"/>
      <c r="R121" s="67"/>
      <c r="S121" s="45" t="s">
        <v>39</v>
      </c>
      <c r="T121" s="45">
        <f>(ABS(F111*X109-U111)*ABS(F111*Y109-V111))^0.5</f>
        <v>4.9949028195742549E-6</v>
      </c>
      <c r="U121" s="45"/>
      <c r="V121" s="45"/>
      <c r="W121" s="45"/>
      <c r="X121" s="45"/>
      <c r="Y121" s="45"/>
      <c r="Z121" s="45"/>
      <c r="AA121" s="45" t="s">
        <v>39</v>
      </c>
      <c r="AB121" s="45">
        <f>(ABS(F111*AF109-AC111)*ABS(F111*AG109-AD111))^0.5</f>
        <v>4.9949028195742549E-6</v>
      </c>
      <c r="AC121" s="45"/>
      <c r="AD121" s="45"/>
      <c r="AE121" s="45"/>
      <c r="AF121" s="45"/>
      <c r="AG121" s="45"/>
      <c r="AH121" s="45"/>
      <c r="AI121" s="45" t="s">
        <v>39</v>
      </c>
      <c r="AJ121" s="45">
        <f>(ABS(F111*AN109-AK111)*ABS(F111*AO109-AL111))^0.5</f>
        <v>92.91170299742879</v>
      </c>
      <c r="AK121" s="45"/>
      <c r="AL121" s="45"/>
      <c r="AM121" s="45"/>
      <c r="AN121" s="45"/>
      <c r="AO121" s="45"/>
      <c r="AP121" s="45"/>
      <c r="AQ121" s="45" t="s">
        <v>39</v>
      </c>
      <c r="AR121" s="45">
        <f>(ABS(F111*AV109-AS111)*ABS(F111*AW109-AT111))^0.5</f>
        <v>150.92872658533932</v>
      </c>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3"/>
      <c r="CA121" s="43"/>
      <c r="CB121" s="43"/>
      <c r="CC121" s="43"/>
      <c r="CD121" s="43"/>
      <c r="CE121" s="43"/>
      <c r="CF121" s="43"/>
      <c r="CG121" s="43"/>
      <c r="CH121" s="43"/>
      <c r="CI121" s="43"/>
      <c r="CJ121" s="43"/>
      <c r="CK121" s="63"/>
      <c r="CL121" s="63"/>
    </row>
    <row r="122" spans="1:90" s="62" customFormat="1" x14ac:dyDescent="0.3">
      <c r="A122" s="43"/>
      <c r="B122" s="43"/>
      <c r="C122" s="44"/>
      <c r="D122" s="44"/>
      <c r="E122" s="43"/>
      <c r="F122" s="43"/>
      <c r="G122" s="43"/>
      <c r="H122" s="43"/>
      <c r="I122" s="43"/>
      <c r="J122" s="43"/>
      <c r="K122" s="43"/>
      <c r="L122" s="43"/>
      <c r="M122" s="43"/>
      <c r="N122" s="43"/>
      <c r="O122" s="67"/>
      <c r="P122" s="67"/>
      <c r="Q122" s="67"/>
      <c r="R122" s="67"/>
      <c r="S122" s="45" t="s">
        <v>40</v>
      </c>
      <c r="T122" s="48">
        <f>(T120/T121)</f>
        <v>1.0000574741307944</v>
      </c>
      <c r="U122" s="45"/>
      <c r="V122" s="45"/>
      <c r="W122" s="45"/>
      <c r="X122" s="45"/>
      <c r="Y122" s="45"/>
      <c r="Z122" s="45"/>
      <c r="AA122" s="45" t="s">
        <v>40</v>
      </c>
      <c r="AB122" s="45">
        <f>(AB120/AB121)</f>
        <v>1.0000574741307944</v>
      </c>
      <c r="AC122" s="45"/>
      <c r="AD122" s="45"/>
      <c r="AE122" s="45"/>
      <c r="AF122" s="45"/>
      <c r="AG122" s="45"/>
      <c r="AH122" s="45"/>
      <c r="AI122" s="45" t="s">
        <v>40</v>
      </c>
      <c r="AJ122" s="45">
        <f>(AJ120/AJ121)</f>
        <v>0.99966059128509754</v>
      </c>
      <c r="AK122" s="45"/>
      <c r="AL122" s="45"/>
      <c r="AM122" s="45"/>
      <c r="AN122" s="45"/>
      <c r="AO122" s="45"/>
      <c r="AP122" s="45"/>
      <c r="AQ122" s="45" t="s">
        <v>40</v>
      </c>
      <c r="AR122" s="45">
        <f>(AR120/AR121)</f>
        <v>0.99642116763347355</v>
      </c>
      <c r="AS122" s="45"/>
      <c r="AT122" s="45"/>
      <c r="AU122" s="45"/>
      <c r="AV122" s="45"/>
      <c r="AW122" s="45"/>
      <c r="AX122" s="45"/>
      <c r="AY122" s="45"/>
      <c r="AZ122" s="45" t="s">
        <v>73</v>
      </c>
      <c r="BA122" s="45">
        <f>(F111*BG109-BD110)</f>
        <v>-1.1368683772161603E-13</v>
      </c>
      <c r="BB122" s="45"/>
      <c r="BC122" s="45"/>
      <c r="BD122" s="45"/>
      <c r="BE122" s="45"/>
      <c r="BF122" s="45"/>
      <c r="BG122" s="45"/>
      <c r="BH122" s="45" t="s">
        <v>73</v>
      </c>
      <c r="BI122" s="45">
        <f>ABS(6*BO109-BL110)</f>
        <v>24.752025343124735</v>
      </c>
      <c r="BJ122" s="45"/>
      <c r="BK122" s="45"/>
      <c r="BL122" s="45"/>
      <c r="BM122" s="45"/>
      <c r="BN122" s="45"/>
      <c r="BO122" s="45"/>
      <c r="BP122" s="45"/>
      <c r="BQ122" s="45" t="s">
        <v>73</v>
      </c>
      <c r="BR122" s="45">
        <f>ABS(F111*BX109-BU110)</f>
        <v>228.53416798281222</v>
      </c>
      <c r="BS122" s="45"/>
      <c r="BT122" s="45"/>
      <c r="BU122" s="45"/>
      <c r="BV122" s="45"/>
      <c r="BW122" s="45"/>
      <c r="BX122" s="45"/>
      <c r="BY122" s="45"/>
      <c r="BZ122" s="43"/>
      <c r="CA122" s="43"/>
      <c r="CB122" s="43"/>
      <c r="CC122" s="43"/>
      <c r="CD122" s="43"/>
      <c r="CE122" s="43"/>
      <c r="CF122" s="43"/>
      <c r="CG122" s="43"/>
      <c r="CH122" s="43"/>
      <c r="CI122" s="43"/>
      <c r="CJ122" s="43"/>
      <c r="CK122" s="63"/>
      <c r="CL122" s="63"/>
    </row>
    <row r="123" spans="1:90" s="62" customFormat="1" x14ac:dyDescent="0.3">
      <c r="A123" s="44"/>
      <c r="B123" s="44"/>
      <c r="C123" s="43"/>
      <c r="D123" s="43"/>
      <c r="E123" s="43"/>
      <c r="F123" s="43"/>
      <c r="G123" s="43"/>
      <c r="H123" s="43"/>
      <c r="I123" s="43"/>
      <c r="J123" s="43"/>
      <c r="K123" s="43"/>
      <c r="L123" s="43"/>
      <c r="M123" s="43"/>
      <c r="N123" s="43"/>
      <c r="O123" s="67"/>
      <c r="P123" s="67"/>
      <c r="Q123" s="67"/>
      <c r="R123" s="67"/>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t="s">
        <v>74</v>
      </c>
      <c r="BA123" s="45"/>
      <c r="BB123" s="45"/>
      <c r="BC123" s="45"/>
      <c r="BD123" s="45"/>
      <c r="BE123" s="45"/>
      <c r="BF123" s="45"/>
      <c r="BG123" s="45"/>
      <c r="BH123" s="45" t="s">
        <v>74</v>
      </c>
      <c r="BI123" s="45"/>
      <c r="BJ123" s="45"/>
      <c r="BK123" s="45"/>
      <c r="BL123" s="45"/>
      <c r="BM123" s="45"/>
      <c r="BN123" s="45"/>
      <c r="BO123" s="45"/>
      <c r="BP123" s="45"/>
      <c r="BQ123" s="45" t="s">
        <v>74</v>
      </c>
      <c r="BR123" s="45"/>
      <c r="BS123" s="45"/>
      <c r="BT123" s="45"/>
      <c r="BU123" s="45"/>
      <c r="BV123" s="45"/>
      <c r="BW123" s="45"/>
      <c r="BX123" s="45"/>
      <c r="BY123" s="45"/>
      <c r="BZ123" s="43"/>
      <c r="CA123" s="43"/>
      <c r="CB123" s="43"/>
      <c r="CC123" s="43"/>
      <c r="CD123" s="43"/>
      <c r="CE123" s="43"/>
      <c r="CF123" s="43"/>
      <c r="CG123" s="43"/>
      <c r="CH123" s="43"/>
      <c r="CI123" s="43"/>
      <c r="CJ123" s="43"/>
      <c r="CK123" s="63"/>
      <c r="CL123" s="63"/>
    </row>
    <row r="124" spans="1:90" s="62" customFormat="1" x14ac:dyDescent="0.3">
      <c r="A124" s="44"/>
      <c r="B124" s="44"/>
      <c r="C124" s="44"/>
      <c r="D124" s="44"/>
      <c r="E124" s="43"/>
      <c r="F124" s="43"/>
      <c r="G124" s="43"/>
      <c r="H124" s="43"/>
      <c r="I124" s="43"/>
      <c r="J124" s="43"/>
      <c r="K124" s="43"/>
      <c r="L124" s="43"/>
      <c r="M124" s="43"/>
      <c r="N124" s="43"/>
      <c r="O124" s="67"/>
      <c r="P124" s="67"/>
      <c r="Q124" s="67"/>
      <c r="R124" s="67"/>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3"/>
      <c r="CA124" s="43"/>
      <c r="CB124" s="43"/>
      <c r="CC124" s="43"/>
      <c r="CD124" s="43"/>
      <c r="CE124" s="43"/>
      <c r="CF124" s="43"/>
      <c r="CG124" s="43"/>
      <c r="CH124" s="43"/>
      <c r="CI124" s="43"/>
      <c r="CJ124" s="43"/>
      <c r="CK124" s="63"/>
      <c r="CL124" s="63"/>
    </row>
    <row r="125" spans="1:90" s="62" customFormat="1" x14ac:dyDescent="0.3">
      <c r="A125" s="44"/>
      <c r="B125" s="44"/>
      <c r="C125" s="44"/>
      <c r="D125" s="44"/>
      <c r="E125" s="43"/>
      <c r="F125" s="43"/>
      <c r="G125" s="43"/>
      <c r="H125" s="43"/>
      <c r="I125" s="43"/>
      <c r="J125" s="43"/>
      <c r="K125" s="43"/>
      <c r="L125" s="43"/>
      <c r="M125" s="43"/>
      <c r="N125" s="43"/>
      <c r="O125" s="67"/>
      <c r="P125" s="67"/>
      <c r="Q125" s="67"/>
      <c r="R125" s="67"/>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t="s">
        <v>76</v>
      </c>
      <c r="BA125" s="45">
        <f>(BA120*BA122)^0.5</f>
        <v>0</v>
      </c>
      <c r="BB125" s="45"/>
      <c r="BC125" s="45"/>
      <c r="BD125" s="45"/>
      <c r="BE125" s="45"/>
      <c r="BF125" s="45"/>
      <c r="BG125" s="45"/>
      <c r="BH125" s="45" t="s">
        <v>76</v>
      </c>
      <c r="BI125" s="45">
        <f>(BI120*BI122)^0.5</f>
        <v>120152.48137836148</v>
      </c>
      <c r="BJ125" s="45"/>
      <c r="BK125" s="45"/>
      <c r="BL125" s="45"/>
      <c r="BM125" s="45"/>
      <c r="BN125" s="45"/>
      <c r="BO125" s="45"/>
      <c r="BP125" s="45"/>
      <c r="BQ125" s="45" t="s">
        <v>76</v>
      </c>
      <c r="BR125" s="45">
        <f>(BR120*BR122)^0.5</f>
        <v>1092989.3858877467</v>
      </c>
      <c r="BS125" s="45"/>
      <c r="BT125" s="45"/>
      <c r="BU125" s="45"/>
      <c r="BV125" s="45"/>
      <c r="BW125" s="45"/>
      <c r="BX125" s="45"/>
      <c r="BY125" s="45"/>
      <c r="BZ125" s="43"/>
      <c r="CA125" s="43"/>
      <c r="CB125" s="43"/>
      <c r="CC125" s="43"/>
      <c r="CD125" s="43"/>
      <c r="CE125" s="43"/>
      <c r="CF125" s="43"/>
      <c r="CG125" s="43"/>
      <c r="CH125" s="43"/>
      <c r="CI125" s="43"/>
      <c r="CJ125" s="43"/>
      <c r="CK125" s="63"/>
      <c r="CL125" s="63"/>
    </row>
    <row r="126" spans="1:90" s="62" customFormat="1" x14ac:dyDescent="0.3">
      <c r="A126" s="44"/>
      <c r="B126" s="44"/>
      <c r="C126" s="44"/>
      <c r="D126" s="44"/>
      <c r="E126" s="43"/>
      <c r="F126" s="43"/>
      <c r="G126" s="43"/>
      <c r="H126" s="43"/>
      <c r="I126" s="43"/>
      <c r="J126" s="43"/>
      <c r="K126" s="43"/>
      <c r="L126" s="43"/>
      <c r="M126" s="43"/>
      <c r="N126" s="43"/>
      <c r="O126" s="43"/>
      <c r="P126" s="43"/>
      <c r="Q126" s="43"/>
      <c r="R126" s="43"/>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t="s">
        <v>75</v>
      </c>
      <c r="BA126" s="45"/>
      <c r="BB126" s="45"/>
      <c r="BC126" s="45"/>
      <c r="BD126" s="45"/>
      <c r="BE126" s="45"/>
      <c r="BF126" s="45"/>
      <c r="BG126" s="45"/>
      <c r="BH126" s="45" t="s">
        <v>75</v>
      </c>
      <c r="BI126" s="45"/>
      <c r="BJ126" s="45"/>
      <c r="BK126" s="45"/>
      <c r="BL126" s="45"/>
      <c r="BM126" s="45"/>
      <c r="BN126" s="45"/>
      <c r="BO126" s="45"/>
      <c r="BP126" s="45"/>
      <c r="BQ126" s="45" t="s">
        <v>75</v>
      </c>
      <c r="BR126" s="45"/>
      <c r="BS126" s="45"/>
      <c r="BT126" s="45"/>
      <c r="BU126" s="45"/>
      <c r="BV126" s="45"/>
      <c r="BW126" s="45"/>
      <c r="BX126" s="45"/>
      <c r="BY126" s="45"/>
      <c r="BZ126" s="43"/>
      <c r="CA126" s="43"/>
      <c r="CB126" s="43"/>
      <c r="CC126" s="43"/>
      <c r="CD126" s="43"/>
      <c r="CE126" s="43"/>
      <c r="CF126" s="43"/>
      <c r="CG126" s="43"/>
      <c r="CH126" s="43"/>
      <c r="CI126" s="43"/>
      <c r="CJ126" s="43"/>
      <c r="CK126" s="63"/>
      <c r="CL126" s="63"/>
    </row>
    <row r="127" spans="1:90" s="62" customFormat="1" x14ac:dyDescent="0.3">
      <c r="A127" s="44"/>
      <c r="B127" s="44"/>
      <c r="C127" s="44"/>
      <c r="D127" s="44"/>
      <c r="E127" s="43"/>
      <c r="F127" s="43"/>
      <c r="G127" s="43"/>
      <c r="H127" s="43"/>
      <c r="I127" s="43"/>
      <c r="J127" s="43"/>
      <c r="K127" s="43"/>
      <c r="L127" s="43"/>
      <c r="M127" s="43"/>
      <c r="N127" s="43"/>
      <c r="O127" s="43"/>
      <c r="P127" s="43"/>
      <c r="Q127" s="43"/>
      <c r="R127" s="43"/>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3"/>
      <c r="CA127" s="43"/>
      <c r="CB127" s="43"/>
      <c r="CC127" s="43"/>
      <c r="CD127" s="43"/>
      <c r="CE127" s="43"/>
      <c r="CF127" s="43"/>
      <c r="CG127" s="43"/>
      <c r="CH127" s="43"/>
      <c r="CI127" s="43"/>
      <c r="CJ127" s="43"/>
      <c r="CK127" s="63"/>
      <c r="CL127" s="63"/>
    </row>
    <row r="128" spans="1:90" s="62" customFormat="1" x14ac:dyDescent="0.3">
      <c r="A128" s="44"/>
      <c r="B128" s="44"/>
      <c r="C128" s="44"/>
      <c r="D128" s="44"/>
      <c r="E128" s="43"/>
      <c r="F128" s="43"/>
      <c r="G128" s="43"/>
      <c r="H128" s="43"/>
      <c r="I128" s="43"/>
      <c r="J128" s="43"/>
      <c r="K128" s="43"/>
      <c r="L128" s="43"/>
      <c r="M128" s="43"/>
      <c r="N128" s="43"/>
      <c r="O128" s="43"/>
      <c r="P128" s="43"/>
      <c r="Q128" s="43"/>
      <c r="R128" s="43"/>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1"/>
      <c r="BY128" s="71"/>
      <c r="BZ128" s="43"/>
      <c r="CA128" s="43"/>
      <c r="CB128" s="43"/>
      <c r="CC128" s="43"/>
      <c r="CD128" s="43"/>
      <c r="CE128" s="43"/>
      <c r="CF128" s="43"/>
      <c r="CG128" s="43"/>
      <c r="CH128" s="43"/>
      <c r="CI128" s="43"/>
      <c r="CJ128" s="43"/>
      <c r="CK128" s="63"/>
      <c r="CL128" s="63"/>
    </row>
    <row r="129" spans="1:90" s="62" customFormat="1" x14ac:dyDescent="0.3">
      <c r="A129" s="44"/>
      <c r="B129" s="44"/>
      <c r="C129" s="44"/>
      <c r="D129" s="44"/>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63"/>
      <c r="CL129" s="63"/>
    </row>
    <row r="130" spans="1:90" s="62" customFormat="1" x14ac:dyDescent="0.3">
      <c r="A130" s="44"/>
      <c r="B130" s="44"/>
      <c r="C130" s="44"/>
      <c r="D130" s="44"/>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63"/>
      <c r="CL130" s="63"/>
    </row>
    <row r="131" spans="1:90" s="62" customFormat="1" x14ac:dyDescent="0.3">
      <c r="A131" s="44"/>
      <c r="B131" s="44"/>
      <c r="C131" s="44"/>
      <c r="D131" s="44"/>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63"/>
      <c r="CL131" s="63"/>
    </row>
    <row r="132" spans="1:90" s="62" customFormat="1" x14ac:dyDescent="0.3">
      <c r="A132" s="44"/>
      <c r="B132" s="44"/>
      <c r="C132" s="44"/>
      <c r="D132" s="44"/>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63"/>
      <c r="CL132" s="63"/>
    </row>
    <row r="133" spans="1:90" s="62" customFormat="1" x14ac:dyDescent="0.3">
      <c r="A133" s="44"/>
      <c r="B133" s="44"/>
      <c r="C133" s="44"/>
      <c r="D133" s="44"/>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63"/>
      <c r="CL133" s="63"/>
    </row>
    <row r="134" spans="1:90" s="62" customFormat="1" x14ac:dyDescent="0.3">
      <c r="A134" s="44"/>
      <c r="B134" s="44"/>
      <c r="C134" s="44"/>
      <c r="D134" s="44"/>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63"/>
      <c r="CL134" s="63"/>
    </row>
    <row r="135" spans="1:90" s="62" customFormat="1" x14ac:dyDescent="0.3">
      <c r="A135" s="44"/>
      <c r="B135" s="44"/>
      <c r="C135" s="44"/>
      <c r="D135" s="44"/>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63"/>
      <c r="CL135" s="63"/>
    </row>
    <row r="136" spans="1:90" s="62" customFormat="1" x14ac:dyDescent="0.3">
      <c r="A136" s="44"/>
      <c r="B136" s="44"/>
      <c r="C136" s="44"/>
      <c r="D136" s="44"/>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63"/>
      <c r="CL136" s="63"/>
    </row>
    <row r="137" spans="1:90" s="62" customFormat="1" x14ac:dyDescent="0.3">
      <c r="A137" s="44"/>
      <c r="B137" s="44"/>
      <c r="C137" s="44"/>
      <c r="D137" s="44"/>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63"/>
      <c r="CL137" s="63"/>
    </row>
    <row r="138" spans="1:90" s="62" customFormat="1" x14ac:dyDescent="0.3">
      <c r="A138" s="44"/>
      <c r="B138" s="44"/>
      <c r="C138" s="44"/>
      <c r="D138" s="44"/>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63"/>
      <c r="CL138" s="63"/>
    </row>
    <row r="139" spans="1:90" s="62" customFormat="1" x14ac:dyDescent="0.3">
      <c r="A139" s="44"/>
      <c r="B139" s="44"/>
      <c r="C139" s="44"/>
      <c r="D139" s="44"/>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63"/>
      <c r="CL139" s="63"/>
    </row>
    <row r="140" spans="1:90" s="62" customFormat="1" x14ac:dyDescent="0.3">
      <c r="A140" s="44"/>
      <c r="B140" s="44"/>
      <c r="C140" s="44"/>
      <c r="D140" s="44"/>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0"/>
      <c r="AZ140" s="40"/>
      <c r="BA140" s="40"/>
      <c r="BB140" s="40"/>
      <c r="BC140" s="40"/>
      <c r="BD140" s="40"/>
      <c r="BE140" s="40"/>
      <c r="BF140" s="40"/>
      <c r="BG140" s="40"/>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63"/>
      <c r="CL140" s="63"/>
    </row>
    <row r="141" spans="1:90" s="62" customFormat="1" x14ac:dyDescent="0.3">
      <c r="A141" s="44"/>
      <c r="B141" s="44"/>
      <c r="C141" s="44"/>
      <c r="D141" s="44"/>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0"/>
      <c r="AZ141" s="40"/>
      <c r="BA141" s="40"/>
      <c r="BB141" s="40"/>
      <c r="BC141" s="40"/>
      <c r="BD141" s="40"/>
      <c r="BE141" s="40"/>
      <c r="BF141" s="40"/>
      <c r="BG141" s="40"/>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63"/>
      <c r="CL141" s="63"/>
    </row>
    <row r="142" spans="1:90" s="62" customFormat="1" x14ac:dyDescent="0.3">
      <c r="A142" s="44"/>
      <c r="B142" s="44"/>
      <c r="C142" s="44"/>
      <c r="D142" s="44"/>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0"/>
      <c r="AZ142" s="40"/>
      <c r="BA142" s="40"/>
      <c r="BB142" s="40"/>
      <c r="BC142" s="40"/>
      <c r="BD142" s="40"/>
      <c r="BE142" s="40"/>
      <c r="BF142" s="40"/>
      <c r="BG142" s="40"/>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63"/>
      <c r="CL142" s="63"/>
    </row>
    <row r="143" spans="1:90" s="62" customFormat="1" x14ac:dyDescent="0.3">
      <c r="A143" s="44"/>
      <c r="B143" s="44"/>
      <c r="C143" s="44"/>
      <c r="D143" s="44"/>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0"/>
      <c r="AZ143" s="40"/>
      <c r="BA143" s="40"/>
      <c r="BB143" s="40"/>
      <c r="BC143" s="40"/>
      <c r="BD143" s="40"/>
      <c r="BE143" s="40"/>
      <c r="BF143" s="40"/>
      <c r="BG143" s="40"/>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63"/>
      <c r="CL143" s="63"/>
    </row>
    <row r="144" spans="1:90" s="62" customForma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0"/>
      <c r="AZ144" s="40"/>
      <c r="BA144" s="40"/>
      <c r="BB144" s="40"/>
      <c r="BC144" s="40"/>
      <c r="BD144" s="40"/>
      <c r="BE144" s="40"/>
      <c r="BF144" s="40"/>
      <c r="BG144" s="40"/>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63"/>
      <c r="CL144" s="63"/>
    </row>
    <row r="145" spans="1:90" s="62" customForma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0"/>
      <c r="AZ145" s="40"/>
      <c r="BA145" s="40"/>
      <c r="BB145" s="40"/>
      <c r="BC145" s="40"/>
      <c r="BD145" s="40"/>
      <c r="BE145" s="40"/>
      <c r="BF145" s="40"/>
      <c r="BG145" s="40"/>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63"/>
      <c r="CL145" s="63"/>
    </row>
    <row r="146" spans="1:90" s="62" customForma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0"/>
      <c r="AZ146" s="40"/>
      <c r="BA146" s="40"/>
      <c r="BB146" s="40"/>
      <c r="BC146" s="40"/>
      <c r="BD146" s="40"/>
      <c r="BE146" s="40"/>
      <c r="BF146" s="40"/>
      <c r="BG146" s="40"/>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63"/>
      <c r="CL146" s="63"/>
    </row>
    <row r="147" spans="1:90" s="62" customFormat="1" x14ac:dyDescent="0.3">
      <c r="A147" s="43"/>
      <c r="B147" s="43"/>
      <c r="C147" s="43"/>
      <c r="D147" s="44"/>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0"/>
      <c r="AZ147" s="40"/>
      <c r="BA147" s="40"/>
      <c r="BB147" s="40"/>
      <c r="BC147" s="40"/>
      <c r="BD147" s="40"/>
      <c r="BE147" s="40"/>
      <c r="BF147" s="40"/>
      <c r="BG147" s="40"/>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63"/>
      <c r="CL147" s="63"/>
    </row>
    <row r="148" spans="1:90" s="62" customForma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0"/>
      <c r="AZ148" s="40"/>
      <c r="BA148" s="40"/>
      <c r="BB148" s="40"/>
      <c r="BC148" s="40"/>
      <c r="BD148" s="40"/>
      <c r="BE148" s="40"/>
      <c r="BF148" s="40"/>
      <c r="BG148" s="40"/>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63"/>
      <c r="CL148" s="63"/>
    </row>
    <row r="149" spans="1:90" s="62" customForma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0"/>
      <c r="AZ149" s="40"/>
      <c r="BA149" s="40"/>
      <c r="BB149" s="40"/>
      <c r="BC149" s="40"/>
      <c r="BD149" s="40"/>
      <c r="BE149" s="40"/>
      <c r="BF149" s="40"/>
      <c r="BG149" s="40"/>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63"/>
      <c r="CL149" s="63"/>
    </row>
    <row r="150" spans="1:90" s="62" customForma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0"/>
      <c r="AZ150" s="40"/>
      <c r="BA150" s="40"/>
      <c r="BB150" s="40"/>
      <c r="BC150" s="40"/>
      <c r="BD150" s="40"/>
      <c r="BE150" s="40"/>
      <c r="BF150" s="40"/>
      <c r="BG150" s="40"/>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63"/>
      <c r="CL150" s="63"/>
    </row>
    <row r="151" spans="1:90" s="62" customForma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0"/>
      <c r="AZ151" s="40"/>
      <c r="BA151" s="40"/>
      <c r="BB151" s="40"/>
      <c r="BC151" s="40"/>
      <c r="BD151" s="40"/>
      <c r="BE151" s="40"/>
      <c r="BF151" s="40"/>
      <c r="BG151" s="40"/>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63"/>
      <c r="CL151" s="63"/>
    </row>
    <row r="152" spans="1:90" s="62" customForma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0"/>
      <c r="AZ152" s="40"/>
      <c r="BA152" s="40"/>
      <c r="BB152" s="40"/>
      <c r="BC152" s="40"/>
      <c r="BD152" s="40"/>
      <c r="BE152" s="40"/>
      <c r="BF152" s="40"/>
      <c r="BG152" s="40"/>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63"/>
      <c r="CL152" s="63"/>
    </row>
    <row r="153" spans="1:90" s="62" customFormat="1" x14ac:dyDescent="0.3">
      <c r="A153" s="43"/>
      <c r="B153" s="43"/>
      <c r="C153" s="43"/>
      <c r="D153" s="43"/>
      <c r="E153" s="43"/>
      <c r="F153" s="43"/>
      <c r="G153" s="43"/>
      <c r="H153" s="43"/>
      <c r="I153" s="43"/>
      <c r="J153" s="43"/>
      <c r="K153" s="43"/>
      <c r="L153" s="43"/>
      <c r="M153" s="43"/>
      <c r="N153" s="40"/>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0"/>
      <c r="AZ153" s="40"/>
      <c r="BA153" s="40"/>
      <c r="BB153" s="40"/>
      <c r="BC153" s="40"/>
      <c r="BD153" s="40"/>
      <c r="BE153" s="40"/>
      <c r="BF153" s="40"/>
      <c r="BG153" s="40"/>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63"/>
      <c r="CL153" s="63"/>
    </row>
    <row r="154" spans="1:90" x14ac:dyDescent="0.3">
      <c r="A154" s="43"/>
      <c r="B154" s="43"/>
      <c r="C154" s="43"/>
      <c r="D154" s="43"/>
      <c r="E154" s="43"/>
      <c r="F154" s="43"/>
      <c r="G154" s="43"/>
      <c r="H154" s="43"/>
      <c r="I154" s="43"/>
      <c r="J154" s="43"/>
      <c r="K154" s="43"/>
      <c r="L154" s="43"/>
      <c r="M154" s="43"/>
      <c r="N154" s="77"/>
      <c r="O154" s="72"/>
      <c r="P154" s="72"/>
      <c r="Q154" s="72"/>
      <c r="R154" s="72"/>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79"/>
      <c r="AZ154" s="79"/>
      <c r="BA154" s="79"/>
      <c r="BB154" s="79"/>
      <c r="BC154" s="79"/>
      <c r="BD154" s="79"/>
      <c r="BE154" s="79"/>
      <c r="BF154" s="79"/>
      <c r="BG154" s="79"/>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0"/>
      <c r="CL154" s="70"/>
    </row>
    <row r="155" spans="1:90" x14ac:dyDescent="0.3">
      <c r="A155" s="43"/>
      <c r="B155" s="43"/>
      <c r="C155" s="43"/>
      <c r="D155" s="43"/>
      <c r="E155" s="43"/>
      <c r="F155" s="43"/>
      <c r="G155" s="43"/>
      <c r="H155" s="43"/>
      <c r="I155" s="43"/>
      <c r="J155" s="43"/>
      <c r="K155" s="43"/>
      <c r="L155" s="43"/>
      <c r="M155" s="43"/>
      <c r="N155" s="77"/>
      <c r="O155" s="72"/>
      <c r="P155" s="72"/>
      <c r="Q155" s="72"/>
      <c r="R155" s="72"/>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79"/>
      <c r="AZ155" s="79"/>
      <c r="BA155" s="79"/>
      <c r="BB155" s="79"/>
      <c r="BC155" s="79"/>
      <c r="BD155" s="79"/>
      <c r="BE155" s="79"/>
      <c r="BF155" s="79"/>
      <c r="BG155" s="79"/>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0"/>
      <c r="CL155" s="70"/>
    </row>
    <row r="156" spans="1:90" x14ac:dyDescent="0.3">
      <c r="A156" s="43"/>
      <c r="B156" s="43"/>
      <c r="C156" s="43"/>
      <c r="D156" s="43"/>
      <c r="E156" s="43"/>
      <c r="F156" s="43"/>
      <c r="G156" s="43"/>
      <c r="H156" s="43"/>
      <c r="I156" s="43"/>
      <c r="J156" s="43"/>
      <c r="K156" s="43"/>
      <c r="L156" s="43"/>
      <c r="M156" s="43"/>
      <c r="N156" s="77"/>
      <c r="O156" s="72"/>
      <c r="P156" s="72"/>
      <c r="Q156" s="72"/>
      <c r="R156" s="72"/>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79"/>
      <c r="AZ156" s="79"/>
      <c r="BA156" s="79"/>
      <c r="BB156" s="79"/>
      <c r="BC156" s="79"/>
      <c r="BD156" s="79"/>
      <c r="BE156" s="79"/>
      <c r="BF156" s="79"/>
      <c r="BG156" s="79"/>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0"/>
      <c r="CL156" s="70"/>
    </row>
    <row r="157" spans="1:90" x14ac:dyDescent="0.3">
      <c r="A157" s="43"/>
      <c r="B157" s="43"/>
      <c r="C157" s="43"/>
      <c r="D157" s="43"/>
      <c r="E157" s="43"/>
      <c r="F157" s="43"/>
      <c r="G157" s="43"/>
      <c r="H157" s="43"/>
      <c r="I157" s="43"/>
      <c r="J157" s="43"/>
      <c r="K157" s="43"/>
      <c r="L157" s="43"/>
      <c r="M157" s="43"/>
      <c r="N157" s="77"/>
      <c r="O157" s="72"/>
      <c r="P157" s="72"/>
      <c r="Q157" s="72"/>
      <c r="R157" s="72"/>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79"/>
      <c r="AZ157" s="79"/>
      <c r="BA157" s="79"/>
      <c r="BB157" s="79"/>
      <c r="BC157" s="79"/>
      <c r="BD157" s="79"/>
      <c r="BE157" s="79"/>
      <c r="BF157" s="79"/>
      <c r="BG157" s="79"/>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0"/>
      <c r="CL157" s="70"/>
    </row>
    <row r="158" spans="1:90" x14ac:dyDescent="0.3">
      <c r="A158" s="43"/>
      <c r="B158" s="43"/>
      <c r="C158" s="43"/>
      <c r="D158" s="43"/>
      <c r="E158" s="43"/>
      <c r="F158" s="43"/>
      <c r="G158" s="43"/>
      <c r="H158" s="43"/>
      <c r="I158" s="43"/>
      <c r="J158" s="43"/>
      <c r="K158" s="43"/>
      <c r="L158" s="43"/>
      <c r="M158" s="43"/>
      <c r="N158" s="77"/>
      <c r="O158" s="72"/>
      <c r="P158" s="72"/>
      <c r="Q158" s="72"/>
      <c r="R158" s="72"/>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79"/>
      <c r="AZ158" s="79"/>
      <c r="BA158" s="79"/>
      <c r="BB158" s="79"/>
      <c r="BC158" s="79"/>
      <c r="BD158" s="79"/>
      <c r="BE158" s="79"/>
      <c r="BF158" s="79"/>
      <c r="BG158" s="79"/>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0"/>
      <c r="CL158" s="70"/>
    </row>
    <row r="159" spans="1:90" x14ac:dyDescent="0.3">
      <c r="A159" s="43"/>
      <c r="B159" s="43"/>
      <c r="C159" s="43"/>
      <c r="D159" s="43"/>
      <c r="E159" s="43"/>
      <c r="F159" s="43"/>
      <c r="G159" s="43"/>
      <c r="H159" s="43"/>
      <c r="I159" s="43"/>
      <c r="J159" s="43"/>
      <c r="K159" s="43"/>
      <c r="L159" s="43"/>
      <c r="M159" s="43"/>
      <c r="N159" s="77"/>
      <c r="O159" s="72"/>
      <c r="P159" s="72"/>
      <c r="Q159" s="72"/>
      <c r="R159" s="72"/>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79"/>
      <c r="AZ159" s="79"/>
      <c r="BA159" s="79"/>
      <c r="BB159" s="79"/>
      <c r="BC159" s="79"/>
      <c r="BD159" s="79"/>
      <c r="BE159" s="79"/>
      <c r="BF159" s="79"/>
      <c r="BG159" s="79"/>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0"/>
      <c r="CL159" s="70"/>
    </row>
    <row r="160" spans="1:90" x14ac:dyDescent="0.3">
      <c r="A160" s="43"/>
      <c r="B160" s="43"/>
      <c r="C160" s="43"/>
      <c r="D160" s="43"/>
      <c r="E160" s="43"/>
      <c r="F160" s="43"/>
      <c r="G160" s="43"/>
      <c r="H160" s="43"/>
      <c r="I160" s="43"/>
      <c r="J160" s="43"/>
      <c r="K160" s="43"/>
      <c r="L160" s="43"/>
      <c r="M160" s="43"/>
      <c r="N160" s="77"/>
      <c r="O160" s="72"/>
      <c r="P160" s="72"/>
      <c r="Q160" s="72"/>
      <c r="R160" s="72"/>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79"/>
      <c r="AZ160" s="79"/>
      <c r="BA160" s="79"/>
      <c r="BB160" s="79"/>
      <c r="BC160" s="79"/>
      <c r="BD160" s="79"/>
      <c r="BE160" s="79"/>
      <c r="BF160" s="79"/>
      <c r="BG160" s="79"/>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0"/>
      <c r="CL160" s="70"/>
    </row>
    <row r="161" spans="1:90" x14ac:dyDescent="0.3">
      <c r="A161" s="43"/>
      <c r="B161" s="43"/>
      <c r="C161" s="43"/>
      <c r="D161" s="43"/>
      <c r="E161" s="43"/>
      <c r="F161" s="43"/>
      <c r="G161" s="43"/>
      <c r="H161" s="43"/>
      <c r="I161" s="43"/>
      <c r="J161" s="43"/>
      <c r="K161" s="43"/>
      <c r="L161" s="43"/>
      <c r="M161" s="43"/>
      <c r="N161" s="77"/>
      <c r="O161" s="72"/>
      <c r="P161" s="72"/>
      <c r="Q161" s="72"/>
      <c r="R161" s="72"/>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79"/>
      <c r="AZ161" s="79"/>
      <c r="BA161" s="79"/>
      <c r="BB161" s="79"/>
      <c r="BC161" s="79"/>
      <c r="BD161" s="79"/>
      <c r="BE161" s="79"/>
      <c r="BF161" s="79"/>
      <c r="BG161" s="79"/>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0"/>
      <c r="CL161" s="70"/>
    </row>
    <row r="162" spans="1:90" x14ac:dyDescent="0.3">
      <c r="A162" s="43"/>
      <c r="B162" s="43"/>
      <c r="C162" s="43"/>
      <c r="D162" s="43"/>
      <c r="E162" s="43"/>
      <c r="F162" s="43"/>
      <c r="G162" s="43"/>
      <c r="H162" s="43"/>
      <c r="I162" s="43"/>
      <c r="J162" s="43"/>
      <c r="K162" s="43"/>
      <c r="L162" s="43"/>
      <c r="M162" s="43"/>
      <c r="N162" s="77"/>
      <c r="O162" s="72"/>
      <c r="P162" s="72"/>
      <c r="Q162" s="72"/>
      <c r="R162" s="72"/>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79"/>
      <c r="AZ162" s="79"/>
      <c r="BA162" s="79"/>
      <c r="BB162" s="79"/>
      <c r="BC162" s="79"/>
      <c r="BD162" s="79"/>
      <c r="BE162" s="79"/>
      <c r="BF162" s="79"/>
      <c r="BG162" s="79"/>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0"/>
      <c r="CL162" s="70"/>
    </row>
    <row r="163" spans="1:90" x14ac:dyDescent="0.3">
      <c r="A163" s="43"/>
      <c r="B163" s="43"/>
      <c r="C163" s="43"/>
      <c r="D163" s="43"/>
      <c r="E163" s="43"/>
      <c r="F163" s="43"/>
      <c r="G163" s="43"/>
      <c r="H163" s="43"/>
      <c r="I163" s="43"/>
      <c r="J163" s="43"/>
      <c r="K163" s="43"/>
      <c r="L163" s="43"/>
      <c r="M163" s="43"/>
      <c r="N163" s="77"/>
      <c r="O163" s="72"/>
      <c r="P163" s="72"/>
      <c r="Q163" s="72"/>
      <c r="R163" s="72"/>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79"/>
      <c r="AZ163" s="79"/>
      <c r="BA163" s="79"/>
      <c r="BB163" s="79"/>
      <c r="BC163" s="79"/>
      <c r="BD163" s="79"/>
      <c r="BE163" s="79"/>
      <c r="BF163" s="79"/>
      <c r="BG163" s="79"/>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0"/>
      <c r="CL163" s="70"/>
    </row>
    <row r="164" spans="1:90" x14ac:dyDescent="0.3">
      <c r="A164" s="43"/>
      <c r="B164" s="43"/>
      <c r="C164" s="43"/>
      <c r="D164" s="43"/>
      <c r="E164" s="43"/>
      <c r="F164" s="43"/>
      <c r="G164" s="43"/>
      <c r="H164" s="43"/>
      <c r="I164" s="43"/>
      <c r="J164" s="43"/>
      <c r="K164" s="43"/>
      <c r="L164" s="43"/>
      <c r="M164" s="43"/>
      <c r="N164" s="77"/>
      <c r="O164" s="72"/>
      <c r="P164" s="72"/>
      <c r="Q164" s="72"/>
      <c r="R164" s="72"/>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79"/>
      <c r="AZ164" s="79"/>
      <c r="BA164" s="79"/>
      <c r="BB164" s="79"/>
      <c r="BC164" s="79"/>
      <c r="BD164" s="79"/>
      <c r="BE164" s="79"/>
      <c r="BF164" s="79"/>
      <c r="BG164" s="79"/>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0"/>
      <c r="CL164" s="70"/>
    </row>
    <row r="165" spans="1:90" x14ac:dyDescent="0.3">
      <c r="A165" s="43"/>
      <c r="B165" s="43"/>
      <c r="C165" s="43"/>
      <c r="D165" s="43"/>
      <c r="E165" s="43"/>
      <c r="F165" s="43"/>
      <c r="G165" s="43"/>
      <c r="H165" s="43"/>
      <c r="I165" s="43"/>
      <c r="J165" s="43"/>
      <c r="K165" s="43"/>
      <c r="L165" s="43"/>
      <c r="M165" s="43"/>
      <c r="N165" s="77"/>
      <c r="O165" s="72"/>
      <c r="P165" s="72"/>
      <c r="Q165" s="72"/>
      <c r="R165" s="72"/>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79"/>
      <c r="AZ165" s="79"/>
      <c r="BA165" s="79"/>
      <c r="BB165" s="79"/>
      <c r="BC165" s="79"/>
      <c r="BD165" s="79"/>
      <c r="BE165" s="79"/>
      <c r="BF165" s="79"/>
      <c r="BG165" s="79"/>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0"/>
      <c r="CL165" s="70"/>
    </row>
    <row r="166" spans="1:90" x14ac:dyDescent="0.3">
      <c r="A166" s="43"/>
      <c r="B166" s="43"/>
      <c r="C166" s="43"/>
      <c r="D166" s="43"/>
      <c r="E166" s="43"/>
      <c r="F166" s="43"/>
      <c r="G166" s="43"/>
      <c r="H166" s="43"/>
      <c r="I166" s="43"/>
      <c r="J166" s="43"/>
      <c r="K166" s="43"/>
      <c r="L166" s="43"/>
      <c r="M166" s="43"/>
      <c r="N166" s="77"/>
      <c r="O166" s="72"/>
      <c r="P166" s="70"/>
      <c r="Q166" s="72"/>
      <c r="R166" s="72"/>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79"/>
      <c r="AZ166" s="79"/>
      <c r="BA166" s="79"/>
      <c r="BB166" s="79"/>
      <c r="BC166" s="79"/>
      <c r="BD166" s="79"/>
      <c r="BE166" s="79"/>
      <c r="BF166" s="79"/>
      <c r="BG166" s="79"/>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0"/>
      <c r="CL166" s="70"/>
    </row>
    <row r="167" spans="1:90" x14ac:dyDescent="0.3">
      <c r="A167" s="43"/>
      <c r="B167" s="43"/>
      <c r="C167" s="43"/>
      <c r="D167" s="43"/>
      <c r="E167" s="43"/>
      <c r="F167" s="43"/>
      <c r="G167" s="43"/>
      <c r="H167" s="43"/>
      <c r="I167" s="43"/>
      <c r="J167" s="43"/>
      <c r="K167" s="43"/>
      <c r="L167" s="43"/>
      <c r="M167" s="43"/>
      <c r="N167" s="77"/>
      <c r="O167" s="72"/>
      <c r="P167" s="70"/>
      <c r="Q167" s="72"/>
      <c r="R167" s="72"/>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79"/>
      <c r="AZ167" s="79"/>
      <c r="BA167" s="79"/>
      <c r="BB167" s="79"/>
      <c r="BC167" s="79"/>
      <c r="BD167" s="79"/>
      <c r="BE167" s="79"/>
      <c r="BF167" s="79"/>
      <c r="BG167" s="79"/>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0"/>
      <c r="CL167" s="70"/>
    </row>
    <row r="168" spans="1:90" x14ac:dyDescent="0.3">
      <c r="A168" s="43"/>
      <c r="B168" s="43"/>
      <c r="C168" s="43"/>
      <c r="D168" s="43"/>
      <c r="E168" s="43"/>
      <c r="F168" s="43"/>
      <c r="G168" s="43"/>
      <c r="H168" s="43"/>
      <c r="I168" s="43"/>
      <c r="J168" s="43"/>
      <c r="K168" s="43"/>
      <c r="L168" s="43"/>
      <c r="M168" s="43"/>
      <c r="N168" s="77"/>
      <c r="O168" s="72"/>
      <c r="P168" s="70"/>
      <c r="Q168" s="72"/>
      <c r="R168" s="72"/>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79"/>
      <c r="AZ168" s="79"/>
      <c r="BA168" s="79"/>
      <c r="BB168" s="79"/>
      <c r="BC168" s="79"/>
      <c r="BD168" s="79"/>
      <c r="BE168" s="79"/>
      <c r="BF168" s="79"/>
      <c r="BG168" s="79"/>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0"/>
      <c r="CL168" s="70"/>
    </row>
    <row r="169" spans="1:90" x14ac:dyDescent="0.3">
      <c r="A169" s="43"/>
      <c r="B169" s="43"/>
      <c r="C169" s="43"/>
      <c r="D169" s="43"/>
      <c r="E169" s="43"/>
      <c r="F169" s="43"/>
      <c r="G169" s="43"/>
      <c r="H169" s="43"/>
      <c r="I169" s="43"/>
      <c r="J169" s="43"/>
      <c r="K169" s="43"/>
      <c r="L169" s="43"/>
      <c r="M169" s="43"/>
      <c r="N169" s="77"/>
      <c r="O169" s="72"/>
      <c r="P169" s="70"/>
      <c r="Q169" s="72"/>
      <c r="R169" s="72"/>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79"/>
      <c r="AZ169" s="79"/>
      <c r="BA169" s="79"/>
      <c r="BB169" s="79"/>
      <c r="BC169" s="79"/>
      <c r="BD169" s="79"/>
      <c r="BE169" s="79"/>
      <c r="BF169" s="79"/>
      <c r="BG169" s="79"/>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0"/>
      <c r="CL169" s="70"/>
    </row>
    <row r="170" spans="1:90" x14ac:dyDescent="0.3">
      <c r="A170" s="43"/>
      <c r="B170" s="43"/>
      <c r="C170" s="43"/>
      <c r="D170" s="43"/>
      <c r="E170" s="43"/>
      <c r="F170" s="43"/>
      <c r="G170" s="43"/>
      <c r="H170" s="43"/>
      <c r="I170" s="43"/>
      <c r="J170" s="43"/>
      <c r="K170" s="43"/>
      <c r="L170" s="43"/>
      <c r="M170" s="43"/>
      <c r="N170" s="77"/>
      <c r="O170" s="72"/>
      <c r="P170" s="70"/>
      <c r="Q170" s="72"/>
      <c r="R170" s="72"/>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79"/>
      <c r="AZ170" s="79"/>
      <c r="BA170" s="79"/>
      <c r="BB170" s="79"/>
      <c r="BC170" s="79"/>
      <c r="BD170" s="79"/>
      <c r="BE170" s="79"/>
      <c r="BF170" s="79"/>
      <c r="BG170" s="79"/>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0"/>
      <c r="CL170" s="70"/>
    </row>
    <row r="171" spans="1:90" x14ac:dyDescent="0.3">
      <c r="A171" s="43"/>
      <c r="B171" s="43"/>
      <c r="C171" s="43"/>
      <c r="D171" s="43"/>
      <c r="E171" s="43"/>
      <c r="F171" s="43"/>
      <c r="G171" s="43"/>
      <c r="H171" s="43"/>
      <c r="I171" s="43"/>
      <c r="J171" s="43"/>
      <c r="K171" s="43"/>
      <c r="L171" s="43"/>
      <c r="M171" s="43"/>
      <c r="N171" s="77"/>
      <c r="O171" s="72"/>
      <c r="P171" s="70"/>
      <c r="Q171" s="72"/>
      <c r="R171" s="72"/>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79"/>
      <c r="AZ171" s="79"/>
      <c r="BA171" s="79"/>
      <c r="BB171" s="79"/>
      <c r="BC171" s="79"/>
      <c r="BD171" s="79"/>
      <c r="BE171" s="79"/>
      <c r="BF171" s="79"/>
      <c r="BG171" s="79"/>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0"/>
      <c r="CL171" s="70"/>
    </row>
    <row r="172" spans="1:90" x14ac:dyDescent="0.3">
      <c r="A172" s="43"/>
      <c r="B172" s="43"/>
      <c r="C172" s="43"/>
      <c r="D172" s="43"/>
      <c r="E172" s="43"/>
      <c r="F172" s="43"/>
      <c r="G172" s="43"/>
      <c r="H172" s="43"/>
      <c r="I172" s="43"/>
      <c r="J172" s="43"/>
      <c r="K172" s="43"/>
      <c r="L172" s="43"/>
      <c r="M172" s="43"/>
      <c r="N172" s="77"/>
      <c r="O172" s="72"/>
      <c r="P172" s="70"/>
      <c r="Q172" s="72"/>
      <c r="R172" s="72"/>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79"/>
      <c r="AZ172" s="79"/>
      <c r="BA172" s="79"/>
      <c r="BB172" s="79"/>
      <c r="BC172" s="79"/>
      <c r="BD172" s="79"/>
      <c r="BE172" s="79"/>
      <c r="BF172" s="79"/>
      <c r="BG172" s="79"/>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0"/>
      <c r="CL172" s="70"/>
    </row>
    <row r="173" spans="1:90" x14ac:dyDescent="0.3">
      <c r="A173" s="43"/>
      <c r="B173" s="43"/>
      <c r="C173" s="43"/>
      <c r="D173" s="43"/>
      <c r="E173" s="43"/>
      <c r="F173" s="43"/>
      <c r="G173" s="43"/>
      <c r="H173" s="43"/>
      <c r="I173" s="43"/>
      <c r="J173" s="43"/>
      <c r="K173" s="43"/>
      <c r="L173" s="43"/>
      <c r="M173" s="43"/>
      <c r="N173" s="77"/>
      <c r="O173" s="70"/>
      <c r="P173" s="70"/>
      <c r="Q173" s="72"/>
      <c r="R173" s="72"/>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79"/>
      <c r="AZ173" s="79"/>
      <c r="BA173" s="79"/>
      <c r="BB173" s="79"/>
      <c r="BC173" s="79"/>
      <c r="BD173" s="79"/>
      <c r="BE173" s="79"/>
      <c r="BF173" s="79"/>
      <c r="BG173" s="79"/>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0"/>
      <c r="CL173" s="70"/>
    </row>
    <row r="174" spans="1:90" x14ac:dyDescent="0.3">
      <c r="A174" s="43"/>
      <c r="B174" s="43"/>
      <c r="C174" s="43"/>
      <c r="D174" s="43"/>
      <c r="E174" s="43"/>
      <c r="F174" s="43"/>
      <c r="G174" s="43"/>
      <c r="H174" s="43"/>
      <c r="I174" s="43"/>
      <c r="J174" s="43"/>
      <c r="K174" s="43"/>
      <c r="L174" s="43"/>
      <c r="M174" s="43"/>
      <c r="N174" s="77"/>
      <c r="O174" s="70"/>
      <c r="P174" s="70"/>
      <c r="Q174" s="72"/>
      <c r="R174" s="72"/>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79"/>
      <c r="AZ174" s="79"/>
      <c r="BA174" s="79"/>
      <c r="BB174" s="79"/>
      <c r="BC174" s="79"/>
      <c r="BD174" s="79"/>
      <c r="BE174" s="79"/>
      <c r="BF174" s="79"/>
      <c r="BG174" s="79"/>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0"/>
      <c r="CL174" s="70"/>
    </row>
    <row r="175" spans="1:90" x14ac:dyDescent="0.3">
      <c r="A175" s="43"/>
      <c r="B175" s="43"/>
      <c r="C175" s="43"/>
      <c r="D175" s="43"/>
      <c r="E175" s="43"/>
      <c r="F175" s="43"/>
      <c r="G175" s="43"/>
      <c r="H175" s="43"/>
      <c r="I175" s="43"/>
      <c r="J175" s="43"/>
      <c r="K175" s="43"/>
      <c r="L175" s="43"/>
      <c r="M175" s="43"/>
      <c r="N175" s="77"/>
      <c r="O175" s="70"/>
      <c r="P175" s="70"/>
      <c r="Q175" s="72"/>
      <c r="R175" s="72"/>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79"/>
      <c r="AZ175" s="79"/>
      <c r="BA175" s="79"/>
      <c r="BB175" s="79"/>
      <c r="BC175" s="79"/>
      <c r="BD175" s="79"/>
      <c r="BE175" s="79"/>
      <c r="BF175" s="79"/>
      <c r="BG175" s="79"/>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0"/>
      <c r="CL175" s="70"/>
    </row>
    <row r="176" spans="1:90" x14ac:dyDescent="0.3">
      <c r="A176" s="43"/>
      <c r="B176" s="43"/>
      <c r="C176" s="43"/>
      <c r="D176" s="43"/>
      <c r="E176" s="43"/>
      <c r="F176" s="43"/>
      <c r="G176" s="43"/>
      <c r="H176" s="43"/>
      <c r="I176" s="43"/>
      <c r="J176" s="43"/>
      <c r="K176" s="43"/>
      <c r="L176" s="43"/>
      <c r="M176" s="43"/>
      <c r="N176" s="77"/>
      <c r="O176" s="70"/>
      <c r="P176" s="70"/>
      <c r="Q176" s="72"/>
      <c r="R176" s="72"/>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79"/>
      <c r="AZ176" s="79"/>
      <c r="BA176" s="79"/>
      <c r="BB176" s="79"/>
      <c r="BC176" s="79"/>
      <c r="BD176" s="79"/>
      <c r="BE176" s="79"/>
      <c r="BF176" s="79"/>
      <c r="BG176" s="79"/>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0"/>
      <c r="CL176" s="70"/>
    </row>
    <row r="177" spans="1:90" x14ac:dyDescent="0.3">
      <c r="A177" s="43"/>
      <c r="B177" s="43"/>
      <c r="C177" s="43"/>
      <c r="D177" s="43"/>
      <c r="E177" s="43"/>
      <c r="F177" s="43"/>
      <c r="G177" s="43"/>
      <c r="H177" s="43"/>
      <c r="I177" s="43"/>
      <c r="J177" s="43"/>
      <c r="K177" s="43"/>
      <c r="L177" s="43"/>
      <c r="M177" s="43"/>
      <c r="N177" s="77"/>
      <c r="O177" s="70"/>
      <c r="P177" s="70"/>
      <c r="Q177" s="72"/>
      <c r="R177" s="72"/>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79"/>
      <c r="AZ177" s="79"/>
      <c r="BA177" s="79"/>
      <c r="BB177" s="79"/>
      <c r="BC177" s="79"/>
      <c r="BD177" s="79"/>
      <c r="BE177" s="79"/>
      <c r="BF177" s="79"/>
      <c r="BG177" s="79"/>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0"/>
      <c r="CL177" s="70"/>
    </row>
    <row r="178" spans="1:90" x14ac:dyDescent="0.3">
      <c r="A178" s="43"/>
      <c r="B178" s="43"/>
      <c r="C178" s="43"/>
      <c r="D178" s="43"/>
      <c r="E178" s="43"/>
      <c r="F178" s="43"/>
      <c r="G178" s="43"/>
      <c r="H178" s="43"/>
      <c r="I178" s="43"/>
      <c r="J178" s="43"/>
      <c r="K178" s="43"/>
      <c r="L178" s="43"/>
      <c r="M178" s="43"/>
      <c r="N178" s="77"/>
      <c r="O178" s="70"/>
      <c r="P178" s="70"/>
      <c r="Q178" s="72"/>
      <c r="R178" s="72"/>
      <c r="S178" s="72"/>
      <c r="T178" s="72"/>
      <c r="U178" s="72"/>
      <c r="V178" s="72"/>
      <c r="W178" s="72"/>
      <c r="X178" s="72"/>
      <c r="Y178" s="72"/>
      <c r="Z178" s="72"/>
      <c r="AA178" s="72"/>
      <c r="AB178" s="72"/>
      <c r="AC178" s="72"/>
      <c r="AD178" s="72"/>
      <c r="AE178" s="72"/>
      <c r="AF178" s="72"/>
      <c r="AG178" s="72"/>
      <c r="AH178" s="72"/>
      <c r="AI178" s="72"/>
      <c r="AJ178" s="72"/>
      <c r="AK178" s="72"/>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0"/>
      <c r="CL178" s="70"/>
    </row>
    <row r="179" spans="1:90" x14ac:dyDescent="0.3">
      <c r="A179" s="43"/>
      <c r="B179" s="43"/>
      <c r="C179" s="43"/>
      <c r="D179" s="43"/>
      <c r="E179" s="43"/>
      <c r="F179" s="43"/>
      <c r="G179" s="43"/>
      <c r="H179" s="43"/>
      <c r="I179" s="43"/>
      <c r="J179" s="43"/>
      <c r="K179" s="43"/>
      <c r="L179" s="43"/>
      <c r="M179" s="43"/>
      <c r="N179" s="78"/>
      <c r="O179" s="70"/>
      <c r="P179" s="70"/>
      <c r="Q179" s="72"/>
      <c r="R179" s="72"/>
      <c r="S179" s="72"/>
      <c r="T179" s="72"/>
      <c r="U179" s="72"/>
      <c r="V179" s="72"/>
      <c r="W179" s="72"/>
      <c r="X179" s="72"/>
      <c r="Y179" s="72"/>
      <c r="Z179" s="72"/>
      <c r="AA179" s="72"/>
      <c r="AB179" s="72"/>
      <c r="AC179" s="72"/>
      <c r="AD179" s="72"/>
      <c r="AE179" s="72"/>
      <c r="AF179" s="72"/>
      <c r="AG179" s="72"/>
      <c r="AH179" s="72"/>
      <c r="AI179" s="72"/>
      <c r="AJ179" s="72"/>
      <c r="AK179" s="72"/>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0"/>
      <c r="CL179" s="70"/>
    </row>
    <row r="180" spans="1:90" x14ac:dyDescent="0.3">
      <c r="A180" s="80"/>
      <c r="B180" s="80"/>
      <c r="C180" s="80"/>
      <c r="D180" s="80"/>
      <c r="E180" s="80"/>
      <c r="F180" s="80"/>
      <c r="G180" s="80"/>
      <c r="H180" s="80"/>
      <c r="I180" s="80"/>
      <c r="J180" s="80"/>
      <c r="K180" s="78"/>
      <c r="L180" s="78"/>
      <c r="M180" s="78"/>
      <c r="N180" s="64"/>
      <c r="O180" s="64"/>
      <c r="P180" s="64"/>
      <c r="Q180" s="64"/>
      <c r="R180" s="78"/>
      <c r="S180" s="78"/>
      <c r="T180" s="78"/>
      <c r="U180" s="78"/>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0"/>
      <c r="CL180" s="70"/>
    </row>
    <row r="181" spans="1:90" x14ac:dyDescent="0.3">
      <c r="A181" s="80"/>
      <c r="B181" s="80"/>
      <c r="C181" s="80"/>
      <c r="D181" s="80"/>
      <c r="E181" s="80"/>
      <c r="F181" s="80"/>
      <c r="G181" s="80"/>
      <c r="H181" s="80"/>
      <c r="I181" s="80"/>
      <c r="J181" s="80"/>
      <c r="K181" s="78"/>
      <c r="L181" s="78"/>
      <c r="M181" s="78"/>
      <c r="N181" s="64"/>
      <c r="O181" s="64"/>
      <c r="P181" s="64"/>
      <c r="Q181" s="64"/>
      <c r="R181" s="78"/>
      <c r="S181" s="78"/>
      <c r="T181" s="78"/>
      <c r="U181" s="78"/>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0"/>
      <c r="CL181" s="70"/>
    </row>
    <row r="182" spans="1:90" x14ac:dyDescent="0.3">
      <c r="A182" s="80"/>
      <c r="B182" s="80"/>
      <c r="C182" s="80"/>
      <c r="D182" s="80"/>
      <c r="E182" s="80"/>
      <c r="F182" s="80"/>
      <c r="G182" s="80"/>
      <c r="H182" s="80"/>
      <c r="I182" s="80"/>
      <c r="J182" s="80"/>
      <c r="K182" s="78"/>
      <c r="L182" s="78"/>
      <c r="M182" s="78"/>
      <c r="N182" s="64"/>
      <c r="O182" s="64"/>
      <c r="P182" s="64"/>
      <c r="Q182" s="64"/>
      <c r="R182" s="78"/>
      <c r="S182" s="78"/>
      <c r="T182" s="78"/>
      <c r="U182" s="78"/>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0"/>
      <c r="CL182" s="70"/>
    </row>
    <row r="183" spans="1:90" x14ac:dyDescent="0.3">
      <c r="A183" s="78"/>
      <c r="B183" s="78"/>
      <c r="C183" s="78"/>
      <c r="D183" s="78"/>
      <c r="E183" s="78"/>
      <c r="F183" s="78"/>
      <c r="G183" s="78"/>
      <c r="H183" s="78"/>
      <c r="I183" s="78"/>
      <c r="J183" s="78"/>
      <c r="K183" s="78"/>
      <c r="L183" s="78"/>
      <c r="M183" s="78"/>
      <c r="N183" s="64"/>
      <c r="O183" s="64"/>
      <c r="P183" s="64"/>
      <c r="Q183" s="64"/>
      <c r="R183" s="78"/>
      <c r="S183" s="78"/>
      <c r="T183" s="78"/>
      <c r="U183" s="78"/>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0"/>
      <c r="CL183" s="70"/>
    </row>
    <row r="184" spans="1:90" x14ac:dyDescent="0.3">
      <c r="A184" s="79"/>
      <c r="B184" s="79"/>
      <c r="C184" s="79"/>
      <c r="D184" s="79"/>
      <c r="E184" s="79"/>
      <c r="F184" s="79"/>
      <c r="G184" s="79"/>
      <c r="H184" s="79"/>
      <c r="I184" s="79"/>
      <c r="J184" s="79"/>
      <c r="K184" s="79"/>
      <c r="L184" s="79"/>
      <c r="M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row>
    <row r="185" spans="1:90" x14ac:dyDescent="0.3">
      <c r="A185" s="79"/>
      <c r="B185" s="79"/>
      <c r="C185" s="79"/>
      <c r="D185" s="79"/>
      <c r="E185" s="79"/>
      <c r="F185" s="79"/>
      <c r="G185" s="79"/>
      <c r="H185" s="79"/>
      <c r="I185" s="79"/>
      <c r="J185" s="79"/>
      <c r="K185" s="79"/>
      <c r="L185" s="79"/>
      <c r="M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row>
    <row r="186" spans="1:90" x14ac:dyDescent="0.3">
      <c r="A186" s="79"/>
      <c r="B186" s="79"/>
      <c r="C186" s="79"/>
      <c r="D186" s="79"/>
      <c r="E186" s="79"/>
      <c r="F186" s="79"/>
      <c r="G186" s="79"/>
      <c r="H186" s="79"/>
      <c r="I186" s="79"/>
      <c r="J186" s="79"/>
      <c r="K186" s="79"/>
      <c r="L186" s="79"/>
      <c r="M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row>
    <row r="187" spans="1:90" x14ac:dyDescent="0.3">
      <c r="A187" s="79"/>
      <c r="B187" s="79"/>
      <c r="C187" s="79"/>
      <c r="D187" s="79"/>
      <c r="E187" s="79"/>
      <c r="F187" s="79"/>
      <c r="G187" s="79"/>
      <c r="H187" s="79"/>
      <c r="I187" s="79"/>
      <c r="J187" s="79"/>
      <c r="K187" s="79"/>
      <c r="L187" s="79"/>
      <c r="M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row>
    <row r="188" spans="1:90" x14ac:dyDescent="0.3">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row>
    <row r="189" spans="1:90" x14ac:dyDescent="0.3">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row>
    <row r="190" spans="1:90" x14ac:dyDescent="0.3">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row>
    <row r="191" spans="1:90" x14ac:dyDescent="0.3">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row>
    <row r="192" spans="1:90" x14ac:dyDescent="0.3">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row>
    <row r="193" spans="18:88" x14ac:dyDescent="0.3">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row>
    <row r="194" spans="18:88" x14ac:dyDescent="0.3">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row>
    <row r="195" spans="18:88" x14ac:dyDescent="0.3">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row>
    <row r="196" spans="18:88" x14ac:dyDescent="0.3">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row>
    <row r="197" spans="18:88" x14ac:dyDescent="0.3">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row>
    <row r="198" spans="18:88" x14ac:dyDescent="0.3">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row>
    <row r="199" spans="18:88" x14ac:dyDescent="0.3">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row>
    <row r="200" spans="18:88" x14ac:dyDescent="0.3">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row>
    <row r="201" spans="18:88" x14ac:dyDescent="0.3">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row>
    <row r="202" spans="18:88" x14ac:dyDescent="0.3">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row>
    <row r="203" spans="18:88" x14ac:dyDescent="0.3">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row>
    <row r="204" spans="18:88" x14ac:dyDescent="0.3">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row>
    <row r="205" spans="18:88" x14ac:dyDescent="0.3">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row>
    <row r="206" spans="18:88" x14ac:dyDescent="0.3">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row>
    <row r="207" spans="18:88" x14ac:dyDescent="0.3">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row>
    <row r="208" spans="18:88" x14ac:dyDescent="0.3">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row>
    <row r="209" spans="18:88" x14ac:dyDescent="0.3">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row>
    <row r="210" spans="18:88" x14ac:dyDescent="0.3">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row>
    <row r="211" spans="18:88" x14ac:dyDescent="0.3">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row>
    <row r="212" spans="18:88" x14ac:dyDescent="0.3">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row>
    <row r="213" spans="18:88" x14ac:dyDescent="0.3">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row>
    <row r="214" spans="18:88" x14ac:dyDescent="0.3">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row>
    <row r="215" spans="18:88" x14ac:dyDescent="0.3">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row>
  </sheetData>
  <sheetProtection algorithmName="SHA-512" hashValue="RcpUJkcB/4DnbygCgFBjK2djZIuQc/Jk0OFJsnZ63PiuBpMtvlAlCqFciujnCLYRl/nkqwwzKsduPaig1M2wpg==" saltValue="XlgSQrzYf49ROg5q44Wzxw==" spinCount="100000" sheet="1" objects="1" scenarios="1"/>
  <dataValidations count="2">
    <dataValidation type="decimal" allowBlank="1" showInputMessage="1" showErrorMessage="1" sqref="O3" xr:uid="{00000000-0002-0000-0200-000000000000}">
      <formula1>0.0000000000000001</formula1>
      <formula2>99.9999999999999</formula2>
    </dataValidation>
    <dataValidation type="decimal" operator="lessThanOrEqual" allowBlank="1" showInputMessage="1" showErrorMessage="1" sqref="O2" xr:uid="{00000000-0002-0000-0200-000001000000}">
      <formula1>(P5)</formula1>
    </dataValidation>
  </dataValidations>
  <pageMargins left="0.7" right="0.7" top="0.78740157499999996" bottom="0.78740157499999996" header="0.3" footer="0.3"/>
  <pageSetup paperSize="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THEMA IM ÜBERBLICK</vt:lpstr>
      <vt:lpstr>EINGABEN EINZELWERTE</vt:lpstr>
      <vt:lpstr> GRAFIKEN UND ABFRAGEN</vt:lpstr>
      <vt:lpstr>' GRAFIKEN UND ABFRAGEN'!Druckbereich</vt:lpstr>
      <vt:lpstr>'EINGABEN EINZELWERTE'!Druckbereich</vt:lpstr>
      <vt:lpstr>'THEMA IM ÜBERBLICK'!Druckbereich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Heinz</cp:lastModifiedBy>
  <cp:lastPrinted>2017-05-26T13:43:46Z</cp:lastPrinted>
  <dcterms:created xsi:type="dcterms:W3CDTF">2017-02-16T20:18:39Z</dcterms:created>
  <dcterms:modified xsi:type="dcterms:W3CDTF">2017-12-05T14:18:41Z</dcterms:modified>
</cp:coreProperties>
</file>