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Heinz\AppData\Local\Temp\wz562a\GESAMTPAKET QUALITAETSUEBERWACHUNG (QU)\"/>
    </mc:Choice>
  </mc:AlternateContent>
  <xr:revisionPtr revIDLastSave="0" documentId="13_ncr:1_{16F8ECC9-DD50-4E2F-A1DC-FE48154180A2}" xr6:coauthVersionLast="47" xr6:coauthVersionMax="47" xr10:uidLastSave="{00000000-0000-0000-0000-000000000000}"/>
  <bookViews>
    <workbookView xWindow="-108" yWindow="-108" windowWidth="23256" windowHeight="12576" tabRatio="706" activeTab="2" xr2:uid="{00000000-000D-0000-FFFF-FFFF00000000}"/>
  </bookViews>
  <sheets>
    <sheet name="&lt;KLEIN - STICHPROBEN&gt;" sheetId="1" r:id="rId1"/>
    <sheet name="&lt;BENENNUNG&gt;EINZELSERIEN" sheetId="2" r:id="rId2"/>
    <sheet name="&lt;BENENNUNG&gt; SERIENSUMME" sheetId="3" r:id="rId3"/>
    <sheet name="AUSSCHUSS - GANGLINIE" sheetId="4" r:id="rId4"/>
  </sheets>
  <definedNames>
    <definedName name="_xlnm.Print_Area" localSheetId="2">'&lt;BENENNUNG&gt; SERIENSUMME'!$A$1:$L$31</definedName>
    <definedName name="_xlnm.Print_Area" localSheetId="1">'&lt;BENENNUNG&gt;EINZELSERIEN'!$A$1:$L$32</definedName>
    <definedName name="_xlnm.Print_Area" localSheetId="0">'&lt;KLEIN - STICHPROBEN&gt;'!$A$1:$T$49</definedName>
    <definedName name="_xlnm.Print_Area" localSheetId="3">'AUSSCHUSS - GANGLINIE'!$A$152:$I$184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4" i="2" l="1"/>
  <c r="G31" i="2"/>
  <c r="I39" i="1"/>
  <c r="S38" i="1" l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G42" i="1"/>
  <c r="F138" i="4" s="1"/>
  <c r="E42" i="1"/>
  <c r="F136" i="4" s="1"/>
  <c r="B136" i="4" s="1"/>
  <c r="I41" i="1"/>
  <c r="G140" i="4" s="1"/>
  <c r="B50" i="1"/>
  <c r="B42" i="1" s="1"/>
  <c r="F133" i="4" s="1"/>
  <c r="C50" i="1"/>
  <c r="C42" i="1" s="1"/>
  <c r="F134" i="4" s="1"/>
  <c r="D50" i="1"/>
  <c r="D42" i="1" s="1"/>
  <c r="F135" i="4" s="1"/>
  <c r="E50" i="1"/>
  <c r="E41" i="1" s="1"/>
  <c r="G136" i="4" s="1"/>
  <c r="F50" i="1"/>
  <c r="F41" i="1" s="1"/>
  <c r="G137" i="4" s="1"/>
  <c r="G50" i="1"/>
  <c r="G41" i="1" s="1"/>
  <c r="G138" i="4" s="1"/>
  <c r="E138" i="4" s="1"/>
  <c r="H50" i="1"/>
  <c r="H42" i="1" s="1"/>
  <c r="F139" i="4" s="1"/>
  <c r="I50" i="1"/>
  <c r="I42" i="1" s="1"/>
  <c r="F140" i="4" s="1"/>
  <c r="C140" i="4" s="1"/>
  <c r="J50" i="1"/>
  <c r="J42" i="1" s="1"/>
  <c r="F141" i="4" s="1"/>
  <c r="C141" i="4" s="1"/>
  <c r="K50" i="1"/>
  <c r="K42" i="1" s="1"/>
  <c r="F142" i="4" s="1"/>
  <c r="C142" i="4" s="1"/>
  <c r="L50" i="1"/>
  <c r="L42" i="1" s="1"/>
  <c r="F143" i="4" s="1"/>
  <c r="M50" i="1"/>
  <c r="M41" i="1" s="1"/>
  <c r="G144" i="4" s="1"/>
  <c r="E144" i="4" s="1"/>
  <c r="N50" i="1"/>
  <c r="N41" i="1" s="1"/>
  <c r="G145" i="4" s="1"/>
  <c r="O50" i="1"/>
  <c r="O42" i="1" s="1"/>
  <c r="F146" i="4" s="1"/>
  <c r="P50" i="1"/>
  <c r="P42" i="1" s="1"/>
  <c r="F147" i="4" s="1"/>
  <c r="C147" i="4" s="1"/>
  <c r="Q50" i="1"/>
  <c r="Q42" i="1" s="1"/>
  <c r="F148" i="4" s="1"/>
  <c r="R50" i="1"/>
  <c r="R42" i="1" s="1"/>
  <c r="F149" i="4" s="1"/>
  <c r="S50" i="1"/>
  <c r="S42" i="1" s="1"/>
  <c r="F150" i="4" s="1"/>
  <c r="B150" i="4" s="1"/>
  <c r="L31" i="3"/>
  <c r="H213" i="4" s="1"/>
  <c r="L30" i="3"/>
  <c r="H212" i="4" s="1"/>
  <c r="G215" i="4" s="1"/>
  <c r="D2" i="3"/>
  <c r="P3" i="1"/>
  <c r="D3" i="1"/>
  <c r="J3" i="1" s="1"/>
  <c r="H202" i="4"/>
  <c r="H206" i="4"/>
  <c r="H200" i="4"/>
  <c r="H233" i="4"/>
  <c r="G235" i="4" s="1"/>
  <c r="H201" i="4"/>
  <c r="L43" i="1"/>
  <c r="L46" i="1"/>
  <c r="A143" i="4" s="1"/>
  <c r="K43" i="1"/>
  <c r="K46" i="1"/>
  <c r="A13" i="3" s="1"/>
  <c r="L13" i="3" s="1"/>
  <c r="O46" i="1"/>
  <c r="A146" i="4" s="1"/>
  <c r="L26" i="3"/>
  <c r="S43" i="1"/>
  <c r="S46" i="1"/>
  <c r="A21" i="3" s="1"/>
  <c r="R43" i="1"/>
  <c r="R46" i="1"/>
  <c r="A20" i="3" s="1"/>
  <c r="Q43" i="1"/>
  <c r="Q46" i="1"/>
  <c r="A19" i="3" s="1"/>
  <c r="P43" i="1"/>
  <c r="P46" i="1"/>
  <c r="A18" i="3" s="1"/>
  <c r="O43" i="1"/>
  <c r="N43" i="1"/>
  <c r="N46" i="1"/>
  <c r="A16" i="3" s="1"/>
  <c r="M43" i="1"/>
  <c r="M44" i="1" s="1"/>
  <c r="M46" i="1"/>
  <c r="A15" i="3" s="1"/>
  <c r="L15" i="3" s="1"/>
  <c r="J43" i="1"/>
  <c r="J46" i="1"/>
  <c r="A12" i="3" s="1"/>
  <c r="K12" i="3" s="1"/>
  <c r="I43" i="1"/>
  <c r="I46" i="1"/>
  <c r="H43" i="1"/>
  <c r="H46" i="1"/>
  <c r="A10" i="3" s="1"/>
  <c r="G43" i="1"/>
  <c r="G46" i="1"/>
  <c r="A138" i="4" s="1"/>
  <c r="F43" i="1"/>
  <c r="F46" i="1"/>
  <c r="A137" i="4" s="1"/>
  <c r="E43" i="1"/>
  <c r="E46" i="1"/>
  <c r="A7" i="3" s="1"/>
  <c r="D43" i="1"/>
  <c r="D46" i="1"/>
  <c r="A6" i="3" s="1"/>
  <c r="K6" i="3" s="1"/>
  <c r="C43" i="1"/>
  <c r="C44" i="1" s="1"/>
  <c r="B5" i="3" s="1"/>
  <c r="C46" i="1"/>
  <c r="A134" i="4" s="1"/>
  <c r="B43" i="1"/>
  <c r="B46" i="1"/>
  <c r="A4" i="3"/>
  <c r="K4" i="3" s="1"/>
  <c r="L4" i="3"/>
  <c r="D36" i="1"/>
  <c r="D39" i="1"/>
  <c r="A6" i="2" s="1"/>
  <c r="P39" i="1"/>
  <c r="A18" i="2" s="1"/>
  <c r="L18" i="2" s="1"/>
  <c r="N36" i="1"/>
  <c r="N39" i="1"/>
  <c r="N37" i="1"/>
  <c r="N40" i="1" s="1"/>
  <c r="B16" i="2" s="1"/>
  <c r="A16" i="2"/>
  <c r="K16" i="2" s="1"/>
  <c r="M36" i="1"/>
  <c r="M39" i="1"/>
  <c r="M37" i="1"/>
  <c r="M40" i="1" s="1"/>
  <c r="B15" i="2" s="1"/>
  <c r="A15" i="2"/>
  <c r="L15" i="2" s="1"/>
  <c r="L36" i="1"/>
  <c r="L39" i="1"/>
  <c r="L37" i="1"/>
  <c r="L40" i="1" s="1"/>
  <c r="B14" i="2" s="1"/>
  <c r="A14" i="2"/>
  <c r="K14" i="2" s="1"/>
  <c r="K36" i="1"/>
  <c r="K37" i="1" s="1"/>
  <c r="K40" i="1" s="1"/>
  <c r="B13" i="2" s="1"/>
  <c r="K39" i="1"/>
  <c r="A13" i="2"/>
  <c r="L13" i="2" s="1"/>
  <c r="J36" i="1"/>
  <c r="J39" i="1"/>
  <c r="A12" i="2" s="1"/>
  <c r="L12" i="2" s="1"/>
  <c r="J37" i="1"/>
  <c r="J40" i="1" s="1"/>
  <c r="B12" i="2" s="1"/>
  <c r="I36" i="1"/>
  <c r="A11" i="2"/>
  <c r="L11" i="2" s="1"/>
  <c r="H36" i="1"/>
  <c r="H39" i="1"/>
  <c r="G36" i="1"/>
  <c r="G37" i="1" s="1"/>
  <c r="G40" i="1" s="1"/>
  <c r="B9" i="2" s="1"/>
  <c r="G39" i="1"/>
  <c r="A9" i="2"/>
  <c r="L9" i="2" s="1"/>
  <c r="F36" i="1"/>
  <c r="F39" i="1"/>
  <c r="F37" i="1" s="1"/>
  <c r="F40" i="1" s="1"/>
  <c r="B8" i="2" s="1"/>
  <c r="E36" i="1"/>
  <c r="E39" i="1"/>
  <c r="A7" i="2" s="1"/>
  <c r="K7" i="2" s="1"/>
  <c r="C36" i="1"/>
  <c r="C37" i="1" s="1"/>
  <c r="C40" i="1" s="1"/>
  <c r="B5" i="2" s="1"/>
  <c r="C39" i="1"/>
  <c r="A5" i="2" s="1"/>
  <c r="B36" i="1"/>
  <c r="B39" i="1"/>
  <c r="B37" i="1"/>
  <c r="B40" i="1" s="1"/>
  <c r="B4" i="2" s="1"/>
  <c r="A4" i="2"/>
  <c r="L4" i="2" s="1"/>
  <c r="R39" i="1"/>
  <c r="A20" i="2" s="1"/>
  <c r="Q39" i="1"/>
  <c r="A19" i="2"/>
  <c r="L19" i="2" s="1"/>
  <c r="S39" i="1"/>
  <c r="A21" i="2" s="1"/>
  <c r="O39" i="1"/>
  <c r="A17" i="2"/>
  <c r="L17" i="2" s="1"/>
  <c r="L29" i="3"/>
  <c r="L28" i="3"/>
  <c r="E28" i="3" s="1"/>
  <c r="E28" i="2" s="1"/>
  <c r="L27" i="3"/>
  <c r="K17" i="2"/>
  <c r="K13" i="2"/>
  <c r="D74" i="4"/>
  <c r="H120" i="4" s="1"/>
  <c r="D70" i="4"/>
  <c r="D72" i="4"/>
  <c r="F15" i="4"/>
  <c r="A133" i="4"/>
  <c r="S36" i="1"/>
  <c r="S37" i="1"/>
  <c r="S40" i="1" s="1"/>
  <c r="B21" i="2" s="1"/>
  <c r="R36" i="1"/>
  <c r="Q36" i="1"/>
  <c r="Q37" i="1"/>
  <c r="Q40" i="1" s="1"/>
  <c r="B19" i="2" s="1"/>
  <c r="P36" i="1"/>
  <c r="P37" i="1" s="1"/>
  <c r="P40" i="1" s="1"/>
  <c r="B18" i="2" s="1"/>
  <c r="O36" i="1"/>
  <c r="O37" i="1" s="1"/>
  <c r="O40" i="1" s="1"/>
  <c r="B17" i="2" s="1"/>
  <c r="B38" i="1"/>
  <c r="J26" i="2"/>
  <c r="I24" i="2"/>
  <c r="I24" i="3" s="1"/>
  <c r="J27" i="2"/>
  <c r="I25" i="2"/>
  <c r="I25" i="3" s="1"/>
  <c r="G20" i="4"/>
  <c r="D45" i="1"/>
  <c r="E45" i="1"/>
  <c r="C23" i="3"/>
  <c r="H20" i="4"/>
  <c r="H18" i="4"/>
  <c r="G18" i="4"/>
  <c r="H13" i="4"/>
  <c r="G13" i="4"/>
  <c r="H57" i="4" s="1"/>
  <c r="H11" i="4"/>
  <c r="G11" i="4"/>
  <c r="H9" i="4"/>
  <c r="G9" i="4"/>
  <c r="C45" i="1"/>
  <c r="B45" i="1"/>
  <c r="G57" i="4"/>
  <c r="G53" i="4"/>
  <c r="C22" i="3"/>
  <c r="S45" i="1"/>
  <c r="G45" i="1"/>
  <c r="H45" i="1"/>
  <c r="I45" i="1"/>
  <c r="J45" i="1"/>
  <c r="K45" i="1"/>
  <c r="L45" i="1"/>
  <c r="M45" i="1"/>
  <c r="N45" i="1"/>
  <c r="O45" i="1"/>
  <c r="P45" i="1"/>
  <c r="Q45" i="1"/>
  <c r="R45" i="1"/>
  <c r="F45" i="1"/>
  <c r="G175" i="4" l="1"/>
  <c r="D79" i="4"/>
  <c r="D81" i="4"/>
  <c r="I175" i="4"/>
  <c r="E29" i="3"/>
  <c r="I28" i="2" s="1"/>
  <c r="H37" i="1"/>
  <c r="H40" i="1" s="1"/>
  <c r="B10" i="2" s="1"/>
  <c r="O41" i="1"/>
  <c r="G146" i="4" s="1"/>
  <c r="C28" i="3"/>
  <c r="C28" i="2" s="1"/>
  <c r="Q41" i="1"/>
  <c r="G148" i="4" s="1"/>
  <c r="E148" i="4" s="1"/>
  <c r="M42" i="1"/>
  <c r="F144" i="4" s="1"/>
  <c r="K19" i="2"/>
  <c r="B44" i="1"/>
  <c r="B47" i="1" s="1"/>
  <c r="R37" i="1"/>
  <c r="R40" i="1" s="1"/>
  <c r="B20" i="2" s="1"/>
  <c r="C29" i="3"/>
  <c r="G28" i="2" s="1"/>
  <c r="A5" i="3"/>
  <c r="L5" i="3" s="1"/>
  <c r="E44" i="1"/>
  <c r="B7" i="3" s="1"/>
  <c r="D44" i="1"/>
  <c r="A135" i="4"/>
  <c r="K12" i="2"/>
  <c r="A8" i="3"/>
  <c r="L8" i="3" s="1"/>
  <c r="L7" i="3"/>
  <c r="K7" i="3"/>
  <c r="A144" i="4"/>
  <c r="A136" i="4"/>
  <c r="E37" i="1"/>
  <c r="E40" i="1" s="1"/>
  <c r="B7" i="2" s="1"/>
  <c r="A145" i="4"/>
  <c r="F44" i="1"/>
  <c r="B8" i="3" s="1"/>
  <c r="A9" i="3"/>
  <c r="A8" i="2"/>
  <c r="G44" i="1"/>
  <c r="H44" i="1"/>
  <c r="B10" i="3" s="1"/>
  <c r="A148" i="4"/>
  <c r="A149" i="4"/>
  <c r="A10" i="2"/>
  <c r="A139" i="4"/>
  <c r="D145" i="4"/>
  <c r="E145" i="4"/>
  <c r="L5" i="2"/>
  <c r="K5" i="2"/>
  <c r="L6" i="2"/>
  <c r="K6" i="2"/>
  <c r="C139" i="4"/>
  <c r="B139" i="4"/>
  <c r="C148" i="4"/>
  <c r="B148" i="4"/>
  <c r="K10" i="3"/>
  <c r="L10" i="3"/>
  <c r="L20" i="2"/>
  <c r="K20" i="2"/>
  <c r="E137" i="4"/>
  <c r="D137" i="4"/>
  <c r="C143" i="4"/>
  <c r="B143" i="4"/>
  <c r="C135" i="4"/>
  <c r="B135" i="4"/>
  <c r="B138" i="4"/>
  <c r="C138" i="4"/>
  <c r="C134" i="4"/>
  <c r="B134" i="4"/>
  <c r="L21" i="2"/>
  <c r="K21" i="2"/>
  <c r="C149" i="4"/>
  <c r="B149" i="4"/>
  <c r="C133" i="4"/>
  <c r="B133" i="4"/>
  <c r="D136" i="4"/>
  <c r="E136" i="4"/>
  <c r="G55" i="4"/>
  <c r="G31" i="4" s="1"/>
  <c r="C136" i="4"/>
  <c r="D138" i="4"/>
  <c r="K9" i="2"/>
  <c r="K18" i="2"/>
  <c r="L14" i="2"/>
  <c r="D37" i="1"/>
  <c r="D40" i="1" s="1"/>
  <c r="B6" i="2" s="1"/>
  <c r="C47" i="1"/>
  <c r="H41" i="1"/>
  <c r="G139" i="4" s="1"/>
  <c r="D139" i="4" s="1"/>
  <c r="P41" i="1"/>
  <c r="G147" i="4" s="1"/>
  <c r="D147" i="4" s="1"/>
  <c r="F42" i="1"/>
  <c r="F137" i="4" s="1"/>
  <c r="N42" i="1"/>
  <c r="F145" i="4" s="1"/>
  <c r="B145" i="4" s="1"/>
  <c r="A141" i="4"/>
  <c r="L7" i="2"/>
  <c r="B41" i="1"/>
  <c r="G133" i="4" s="1"/>
  <c r="J41" i="1"/>
  <c r="G141" i="4" s="1"/>
  <c r="E141" i="4" s="1"/>
  <c r="R41" i="1"/>
  <c r="G149" i="4" s="1"/>
  <c r="E149" i="4" s="1"/>
  <c r="G32" i="4"/>
  <c r="G36" i="4" s="1"/>
  <c r="A142" i="4"/>
  <c r="K4" i="2"/>
  <c r="C41" i="1"/>
  <c r="G134" i="4" s="1"/>
  <c r="K41" i="1"/>
  <c r="G142" i="4" s="1"/>
  <c r="S41" i="1"/>
  <c r="G150" i="4" s="1"/>
  <c r="H53" i="4"/>
  <c r="G116" i="4"/>
  <c r="E30" i="3"/>
  <c r="H79" i="4" s="1"/>
  <c r="L16" i="2"/>
  <c r="L6" i="3"/>
  <c r="D41" i="1"/>
  <c r="G135" i="4" s="1"/>
  <c r="L41" i="1"/>
  <c r="G143" i="4" s="1"/>
  <c r="D143" i="4" s="1"/>
  <c r="H55" i="4"/>
  <c r="B4" i="3"/>
  <c r="G120" i="4"/>
  <c r="H116" i="4"/>
  <c r="H98" i="4" s="1"/>
  <c r="K15" i="2"/>
  <c r="A147" i="4"/>
  <c r="G233" i="4"/>
  <c r="G216" i="4"/>
  <c r="G213" i="4" s="1"/>
  <c r="G208" i="4"/>
  <c r="G206" i="4" s="1"/>
  <c r="G212" i="4"/>
  <c r="B140" i="4"/>
  <c r="I37" i="1"/>
  <c r="I40" i="1" s="1"/>
  <c r="B11" i="2" s="1"/>
  <c r="J44" i="1"/>
  <c r="B12" i="3" s="1"/>
  <c r="I44" i="1"/>
  <c r="B141" i="4"/>
  <c r="S44" i="1"/>
  <c r="B21" i="3" s="1"/>
  <c r="C150" i="4"/>
  <c r="P44" i="1"/>
  <c r="B18" i="3" s="1"/>
  <c r="Q44" i="1"/>
  <c r="K13" i="3"/>
  <c r="R44" i="1"/>
  <c r="K44" i="1"/>
  <c r="B13" i="3" s="1"/>
  <c r="E146" i="4"/>
  <c r="D146" i="4"/>
  <c r="C144" i="4"/>
  <c r="B144" i="4"/>
  <c r="K20" i="3"/>
  <c r="L20" i="3"/>
  <c r="B142" i="4"/>
  <c r="A14" i="3"/>
  <c r="K11" i="2"/>
  <c r="L44" i="1"/>
  <c r="A11" i="3"/>
  <c r="K11" i="3" s="1"/>
  <c r="B147" i="4"/>
  <c r="K15" i="3"/>
  <c r="A140" i="4"/>
  <c r="D140" i="4"/>
  <c r="E140" i="4"/>
  <c r="C146" i="4"/>
  <c r="B146" i="4"/>
  <c r="B15" i="3"/>
  <c r="L19" i="3"/>
  <c r="K19" i="3"/>
  <c r="L16" i="3"/>
  <c r="K16" i="3"/>
  <c r="L18" i="3"/>
  <c r="K18" i="3"/>
  <c r="K21" i="3"/>
  <c r="L21" i="3"/>
  <c r="A150" i="4"/>
  <c r="L12" i="3"/>
  <c r="A17" i="3"/>
  <c r="O44" i="1"/>
  <c r="N44" i="1"/>
  <c r="D144" i="4"/>
  <c r="H33" i="4" l="1"/>
  <c r="I33" i="4" s="1"/>
  <c r="G33" i="4"/>
  <c r="D148" i="4"/>
  <c r="K5" i="3"/>
  <c r="C30" i="3"/>
  <c r="C29" i="2" s="1"/>
  <c r="H95" i="4"/>
  <c r="I95" i="4" s="1"/>
  <c r="H89" i="4" s="1"/>
  <c r="G34" i="4"/>
  <c r="G38" i="4" s="1"/>
  <c r="E47" i="1"/>
  <c r="I47" i="1"/>
  <c r="B6" i="3"/>
  <c r="D47" i="1"/>
  <c r="Q47" i="1"/>
  <c r="K8" i="3"/>
  <c r="F47" i="1"/>
  <c r="G47" i="1"/>
  <c r="B11" i="3"/>
  <c r="H47" i="1"/>
  <c r="L8" i="2"/>
  <c r="K8" i="2"/>
  <c r="B9" i="3"/>
  <c r="L9" i="3"/>
  <c r="K9" i="3"/>
  <c r="K47" i="1"/>
  <c r="L11" i="3"/>
  <c r="L10" i="2"/>
  <c r="K10" i="2"/>
  <c r="C145" i="4"/>
  <c r="E147" i="4"/>
  <c r="J47" i="1"/>
  <c r="D149" i="4"/>
  <c r="H96" i="4"/>
  <c r="I96" i="4" s="1"/>
  <c r="H85" i="4" s="1"/>
  <c r="E143" i="4"/>
  <c r="D141" i="4"/>
  <c r="G98" i="4"/>
  <c r="G96" i="4"/>
  <c r="G95" i="4"/>
  <c r="G100" i="4"/>
  <c r="E29" i="2"/>
  <c r="H78" i="4"/>
  <c r="H71" i="4"/>
  <c r="H94" i="4"/>
  <c r="I94" i="4" s="1"/>
  <c r="H83" i="4" s="1"/>
  <c r="G97" i="4"/>
  <c r="B19" i="3"/>
  <c r="E134" i="4"/>
  <c r="D134" i="4"/>
  <c r="E139" i="4"/>
  <c r="H97" i="4"/>
  <c r="I97" i="4" s="1"/>
  <c r="H32" i="4"/>
  <c r="G94" i="4"/>
  <c r="H34" i="4"/>
  <c r="H100" i="4"/>
  <c r="H31" i="4"/>
  <c r="I31" i="4" s="1"/>
  <c r="E150" i="4"/>
  <c r="D150" i="4"/>
  <c r="E133" i="4"/>
  <c r="D133" i="4"/>
  <c r="B137" i="4"/>
  <c r="C137" i="4"/>
  <c r="D135" i="4"/>
  <c r="E135" i="4"/>
  <c r="E142" i="4"/>
  <c r="D142" i="4"/>
  <c r="G200" i="4"/>
  <c r="G201" i="4"/>
  <c r="G239" i="4" s="1"/>
  <c r="I31" i="2" s="1"/>
  <c r="G229" i="4"/>
  <c r="G228" i="4"/>
  <c r="L47" i="1"/>
  <c r="S47" i="1"/>
  <c r="B20" i="3"/>
  <c r="R47" i="1"/>
  <c r="B14" i="3"/>
  <c r="M47" i="1"/>
  <c r="L14" i="3"/>
  <c r="K14" i="3"/>
  <c r="O47" i="1"/>
  <c r="B17" i="3"/>
  <c r="P47" i="1"/>
  <c r="L17" i="3"/>
  <c r="K17" i="3"/>
  <c r="N47" i="1"/>
  <c r="B16" i="3"/>
  <c r="H87" i="4" l="1"/>
  <c r="G72" i="4"/>
  <c r="H38" i="4"/>
  <c r="I38" i="4" s="1"/>
  <c r="I34" i="4"/>
  <c r="G71" i="4"/>
  <c r="I32" i="4"/>
  <c r="H36" i="4"/>
  <c r="I36" i="4" s="1"/>
  <c r="G79" i="4"/>
  <c r="G78" i="4"/>
  <c r="G219" i="4"/>
  <c r="A49" i="1" s="1"/>
  <c r="N49" i="1" s="1"/>
  <c r="H145" i="4" s="1"/>
  <c r="H22" i="3"/>
  <c r="H23" i="3"/>
  <c r="G238" i="4"/>
  <c r="I30" i="2" s="1"/>
  <c r="G210" i="4"/>
  <c r="C31" i="3" s="1"/>
  <c r="C14" i="3" s="1"/>
  <c r="G218" i="4"/>
  <c r="A48" i="1" s="1"/>
  <c r="H37" i="4"/>
  <c r="I37" i="4" s="1"/>
  <c r="G37" i="4"/>
  <c r="H35" i="4"/>
  <c r="I35" i="4" s="1"/>
  <c r="G35" i="4"/>
  <c r="G23" i="3"/>
  <c r="G22" i="3"/>
  <c r="G73" i="4" l="1"/>
  <c r="E17" i="3"/>
  <c r="E14" i="3"/>
  <c r="G80" i="4"/>
  <c r="P49" i="1"/>
  <c r="H147" i="4" s="1"/>
  <c r="K147" i="4" s="1"/>
  <c r="F49" i="1"/>
  <c r="H137" i="4" s="1"/>
  <c r="J137" i="4" s="1"/>
  <c r="R49" i="1"/>
  <c r="H149" i="4" s="1"/>
  <c r="J149" i="4" s="1"/>
  <c r="G49" i="1"/>
  <c r="H138" i="4" s="1"/>
  <c r="K138" i="4" s="1"/>
  <c r="B49" i="1"/>
  <c r="H133" i="4" s="1"/>
  <c r="K133" i="4" s="1"/>
  <c r="L49" i="1"/>
  <c r="H143" i="4" s="1"/>
  <c r="K143" i="4" s="1"/>
  <c r="I49" i="1"/>
  <c r="H140" i="4" s="1"/>
  <c r="J140" i="4" s="1"/>
  <c r="S49" i="1"/>
  <c r="H150" i="4" s="1"/>
  <c r="J150" i="4" s="1"/>
  <c r="J49" i="1"/>
  <c r="H141" i="4" s="1"/>
  <c r="J141" i="4" s="1"/>
  <c r="M49" i="1"/>
  <c r="H144" i="4" s="1"/>
  <c r="J144" i="4" s="1"/>
  <c r="E16" i="3"/>
  <c r="E15" i="3"/>
  <c r="Q49" i="1"/>
  <c r="H148" i="4" s="1"/>
  <c r="J148" i="4" s="1"/>
  <c r="E49" i="1"/>
  <c r="H136" i="4" s="1"/>
  <c r="J136" i="4" s="1"/>
  <c r="O49" i="1"/>
  <c r="H146" i="4" s="1"/>
  <c r="K146" i="4" s="1"/>
  <c r="D49" i="1"/>
  <c r="H135" i="4" s="1"/>
  <c r="K135" i="4" s="1"/>
  <c r="H49" i="1"/>
  <c r="H139" i="4" s="1"/>
  <c r="J139" i="4" s="1"/>
  <c r="C49" i="1"/>
  <c r="H134" i="4" s="1"/>
  <c r="K134" i="4" s="1"/>
  <c r="K49" i="1"/>
  <c r="H142" i="4" s="1"/>
  <c r="K142" i="4" s="1"/>
  <c r="E20" i="3"/>
  <c r="E18" i="3"/>
  <c r="H23" i="2"/>
  <c r="C27" i="3"/>
  <c r="C27" i="2" s="1"/>
  <c r="J133" i="4"/>
  <c r="C17" i="3"/>
  <c r="C26" i="3"/>
  <c r="C26" i="2" s="1"/>
  <c r="H22" i="2"/>
  <c r="C24" i="3"/>
  <c r="C24" i="2" s="1"/>
  <c r="G22" i="2"/>
  <c r="J145" i="4"/>
  <c r="K145" i="4"/>
  <c r="I48" i="1"/>
  <c r="I140" i="4" s="1"/>
  <c r="O48" i="1"/>
  <c r="I146" i="4" s="1"/>
  <c r="H48" i="1"/>
  <c r="I139" i="4" s="1"/>
  <c r="E48" i="1"/>
  <c r="I136" i="4" s="1"/>
  <c r="R48" i="1"/>
  <c r="I149" i="4" s="1"/>
  <c r="N48" i="1"/>
  <c r="I145" i="4" s="1"/>
  <c r="K48" i="1"/>
  <c r="I142" i="4" s="1"/>
  <c r="B48" i="1"/>
  <c r="I133" i="4" s="1"/>
  <c r="G48" i="1"/>
  <c r="I138" i="4" s="1"/>
  <c r="D48" i="1"/>
  <c r="I135" i="4" s="1"/>
  <c r="Q48" i="1"/>
  <c r="I148" i="4" s="1"/>
  <c r="M48" i="1"/>
  <c r="I144" i="4" s="1"/>
  <c r="J48" i="1"/>
  <c r="I141" i="4" s="1"/>
  <c r="S48" i="1"/>
  <c r="I150" i="4" s="1"/>
  <c r="F48" i="1"/>
  <c r="I137" i="4" s="1"/>
  <c r="P48" i="1"/>
  <c r="I147" i="4" s="1"/>
  <c r="L48" i="1"/>
  <c r="I143" i="4" s="1"/>
  <c r="C48" i="1"/>
  <c r="I134" i="4" s="1"/>
  <c r="C25" i="3"/>
  <c r="C25" i="2" s="1"/>
  <c r="G23" i="2"/>
  <c r="C30" i="2"/>
  <c r="C6" i="3"/>
  <c r="E5" i="3"/>
  <c r="C9" i="3"/>
  <c r="E6" i="3"/>
  <c r="C7" i="3"/>
  <c r="E7" i="3"/>
  <c r="C8" i="3"/>
  <c r="E8" i="3"/>
  <c r="E9" i="3"/>
  <c r="E4" i="3"/>
  <c r="C5" i="3"/>
  <c r="C4" i="3"/>
  <c r="C15" i="3"/>
  <c r="C12" i="3"/>
  <c r="E10" i="3"/>
  <c r="C10" i="3"/>
  <c r="E19" i="3"/>
  <c r="C18" i="3"/>
  <c r="C19" i="3"/>
  <c r="C16" i="3"/>
  <c r="E12" i="3"/>
  <c r="C11" i="3"/>
  <c r="C13" i="3"/>
  <c r="C20" i="3"/>
  <c r="E13" i="3"/>
  <c r="E11" i="3"/>
  <c r="C21" i="3"/>
  <c r="E21" i="3"/>
  <c r="J147" i="4" l="1"/>
  <c r="K137" i="4"/>
  <c r="K150" i="4"/>
  <c r="K140" i="4"/>
  <c r="J134" i="4"/>
  <c r="J135" i="4"/>
  <c r="K136" i="4"/>
  <c r="K144" i="4"/>
  <c r="K149" i="4"/>
  <c r="J146" i="4"/>
  <c r="J142" i="4"/>
  <c r="J143" i="4"/>
  <c r="K139" i="4"/>
  <c r="J138" i="4"/>
  <c r="K141" i="4"/>
  <c r="K148" i="4"/>
  <c r="M143" i="4"/>
  <c r="L143" i="4"/>
  <c r="L137" i="4"/>
  <c r="M137" i="4"/>
  <c r="M142" i="4"/>
  <c r="L142" i="4"/>
  <c r="M150" i="4"/>
  <c r="L150" i="4"/>
  <c r="M145" i="4"/>
  <c r="L145" i="4"/>
  <c r="M141" i="4"/>
  <c r="L141" i="4"/>
  <c r="M149" i="4"/>
  <c r="L149" i="4"/>
  <c r="L144" i="4"/>
  <c r="M144" i="4"/>
  <c r="M136" i="4"/>
  <c r="L136" i="4"/>
  <c r="E8" i="2"/>
  <c r="C15" i="2"/>
  <c r="C5" i="2"/>
  <c r="C8" i="2"/>
  <c r="E9" i="2"/>
  <c r="C14" i="2"/>
  <c r="E12" i="2"/>
  <c r="C21" i="2"/>
  <c r="C13" i="2"/>
  <c r="C4" i="2"/>
  <c r="E18" i="2"/>
  <c r="E13" i="2"/>
  <c r="C20" i="2"/>
  <c r="C12" i="2"/>
  <c r="E21" i="2"/>
  <c r="E14" i="2"/>
  <c r="C19" i="2"/>
  <c r="C10" i="2"/>
  <c r="E20" i="2"/>
  <c r="E15" i="2"/>
  <c r="E4" i="2"/>
  <c r="C18" i="2"/>
  <c r="C9" i="2"/>
  <c r="E19" i="2"/>
  <c r="E16" i="2"/>
  <c r="E5" i="2"/>
  <c r="C17" i="2"/>
  <c r="C7" i="2"/>
  <c r="E6" i="2"/>
  <c r="E17" i="2"/>
  <c r="E7" i="2"/>
  <c r="C16" i="2"/>
  <c r="C6" i="2"/>
  <c r="E11" i="2"/>
  <c r="E10" i="2"/>
  <c r="C11" i="2"/>
  <c r="L148" i="4"/>
  <c r="M148" i="4"/>
  <c r="L139" i="4"/>
  <c r="M139" i="4"/>
  <c r="L134" i="4"/>
  <c r="M134" i="4"/>
  <c r="M135" i="4"/>
  <c r="L135" i="4"/>
  <c r="M146" i="4"/>
  <c r="L146" i="4"/>
  <c r="L138" i="4"/>
  <c r="M138" i="4"/>
  <c r="L140" i="4"/>
  <c r="M140" i="4"/>
  <c r="L147" i="4"/>
  <c r="M147" i="4"/>
  <c r="L133" i="4"/>
  <c r="M133" i="4"/>
</calcChain>
</file>

<file path=xl/sharedStrings.xml><?xml version="1.0" encoding="utf-8"?>
<sst xmlns="http://schemas.openxmlformats.org/spreadsheetml/2006/main" count="286" uniqueCount="223">
  <si>
    <t>Summe Einzel</t>
  </si>
  <si>
    <t>Mittel Einzel</t>
  </si>
  <si>
    <t>Range Einzel</t>
  </si>
  <si>
    <t>Anzahl (m) Einzel</t>
  </si>
  <si>
    <t>Summe kumuliert</t>
  </si>
  <si>
    <t>Mittel kumuliert</t>
  </si>
  <si>
    <t>Range kumuliert</t>
  </si>
  <si>
    <t>Anzahl (m) kumuliert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</si>
  <si>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</si>
  <si>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</si>
  <si>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</si>
  <si>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</si>
  <si>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</si>
  <si>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</si>
  <si>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</si>
  <si>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</si>
  <si>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</si>
  <si>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</si>
  <si>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</si>
  <si>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</si>
  <si>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</si>
  <si>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</si>
  <si>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</si>
  <si>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</si>
  <si>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Bedingung Mittel</t>
  </si>
  <si>
    <t>Jede eingetragene Stich -</t>
  </si>
  <si>
    <t xml:space="preserve">probe muss  min. 3 und </t>
  </si>
  <si>
    <t>MW</t>
  </si>
  <si>
    <t>STICHPROBENREIHE B - G (sechs Erhebungen)</t>
  </si>
  <si>
    <t>Ks95</t>
  </si>
  <si>
    <t>Ks90</t>
  </si>
  <si>
    <t>massg.Ks</t>
  </si>
  <si>
    <t>ts90</t>
  </si>
  <si>
    <t>massg. ts</t>
  </si>
  <si>
    <t>Bed. 1 [% / 100]</t>
  </si>
  <si>
    <t>eff. Range</t>
  </si>
  <si>
    <t xml:space="preserve">MUTMASSLICHE FRAKTILWERTE VON NORMAL - VERTEILTEN POPULATIONEN IN DER BANDBREITE </t>
  </si>
  <si>
    <t>STATISTISCHE DATEN:</t>
  </si>
  <si>
    <t>Mittelwert der Stichprobe (xquer):</t>
  </si>
  <si>
    <t>Empirische Standardabweichung (s):</t>
  </si>
  <si>
    <t>Stichprobengrösse (n):</t>
  </si>
  <si>
    <t>Unteres % - Quantil (Prozentangabe)</t>
  </si>
  <si>
    <t xml:space="preserve">Oberes % - Quantil (Prozentangabe)      </t>
  </si>
  <si>
    <t xml:space="preserve">RESULTATE FÜR VERTRAUENSNIVEAU (VN %):         </t>
  </si>
  <si>
    <t>VN 90%</t>
  </si>
  <si>
    <t>VN 95%</t>
  </si>
  <si>
    <t>UNTERER FRAKTILWERT</t>
  </si>
  <si>
    <t>OBERER FRAKTILWERT</t>
  </si>
  <si>
    <t>Kennwerte:</t>
  </si>
  <si>
    <t>a(A)</t>
  </si>
  <si>
    <t>b(A)</t>
  </si>
  <si>
    <t>Aschätz ∞</t>
  </si>
  <si>
    <t>a(B)</t>
  </si>
  <si>
    <t>b(B)</t>
  </si>
  <si>
    <t>Bschätz ∞</t>
  </si>
  <si>
    <t>a(Ks schätz ∞)</t>
  </si>
  <si>
    <t>b(Ks schätz ∞)</t>
  </si>
  <si>
    <t>Ks schätz∞ schätz)</t>
  </si>
  <si>
    <t>Hilfsformeln zu Formelkoeffizienten :     A schätz</t>
  </si>
  <si>
    <t>B schätz</t>
  </si>
  <si>
    <t>Ks schätz∞</t>
  </si>
  <si>
    <t>15. November 2011 / Ba.</t>
  </si>
  <si>
    <r>
      <rPr>
        <sz val="9"/>
        <color theme="1"/>
        <rFont val="Calibri"/>
        <family val="2"/>
      </rPr>
      <t xml:space="preserve">Σ - </t>
    </r>
    <r>
      <rPr>
        <sz val="9"/>
        <color theme="1"/>
        <rFont val="Calibri"/>
        <family val="2"/>
        <scheme val="minor"/>
      </rPr>
      <t>MW</t>
    </r>
  </si>
  <si>
    <t>Objekt - Kennziffer:</t>
  </si>
  <si>
    <t>VN 90</t>
  </si>
  <si>
    <t>VN 95</t>
  </si>
  <si>
    <t>ASG 1 [%]</t>
  </si>
  <si>
    <t>&lt;REFERENZPROFIL BESCHREIBUNG&gt;</t>
  </si>
  <si>
    <t>ASG.1[%]</t>
  </si>
  <si>
    <t>VN  =</t>
  </si>
  <si>
    <t>Unterer Fraktilwert (Dimension)</t>
  </si>
  <si>
    <t>Oberer Fraktilwert (Dimension)</t>
  </si>
  <si>
    <t>UNTERSCHREITUNGSHÄUFIGKIT (%)</t>
  </si>
  <si>
    <t>ÜBERSCHREITUNGSHÄUFIGKEIT (%)</t>
  </si>
  <si>
    <t>massgebende</t>
  </si>
  <si>
    <t>Werte</t>
  </si>
  <si>
    <t>Aussengrenze</t>
  </si>
  <si>
    <t>WARNGRENZE</t>
  </si>
  <si>
    <t>ODER:</t>
  </si>
  <si>
    <t>(Dimension)</t>
  </si>
  <si>
    <t>Hilfsformeln zu Formelkoeffizienten :                         A schätz</t>
  </si>
  <si>
    <t>BEIDSEITIG (!):</t>
  </si>
  <si>
    <t>06.Oktober / Ba.</t>
  </si>
  <si>
    <t>EINSEITIG (!):</t>
  </si>
  <si>
    <t>massg.</t>
  </si>
  <si>
    <t>ts95</t>
  </si>
  <si>
    <t>%]</t>
  </si>
  <si>
    <t>Vorgabe [%]</t>
  </si>
  <si>
    <r>
      <t xml:space="preserve">ERGEBNISSE UND DARSTELLUNG DER </t>
    </r>
    <r>
      <rPr>
        <b/>
        <sz val="12"/>
        <color rgb="FF0070C0"/>
        <rFont val="Calibri"/>
        <family val="2"/>
        <scheme val="minor"/>
      </rPr>
      <t>AKKUMULIERTEN STICHPROBENSUMME</t>
    </r>
  </si>
  <si>
    <r>
      <t xml:space="preserve">ERGEBNISSE UND DARSTELLUNG DER </t>
    </r>
    <r>
      <rPr>
        <b/>
        <sz val="14"/>
        <color rgb="FF0070C0"/>
        <rFont val="Calibri"/>
        <family val="2"/>
        <scheme val="minor"/>
      </rPr>
      <t>EINZELNEN STICHPROBEN</t>
    </r>
  </si>
  <si>
    <t>Hilfswert blaue Linien Zähler:</t>
  </si>
  <si>
    <t>Hilfswert blaue Linie Nenner:</t>
  </si>
  <si>
    <t>Quotient blaue Linie %</t>
  </si>
  <si>
    <t>VERHÄLTNIS UNTERER FRAKTILWERT:</t>
  </si>
  <si>
    <t>VERHÄLTNIS OBERER FRAKTILWERT:</t>
  </si>
  <si>
    <t>Untere Aussengrenze (Dimension)</t>
  </si>
  <si>
    <t>EINGRIFF</t>
  </si>
  <si>
    <t>Obere Aussengrenze (Dimension)</t>
  </si>
  <si>
    <t>Σ Einzelwerte</t>
  </si>
  <si>
    <t>&lt; Mittelwert</t>
  </si>
  <si>
    <t>2.5%- Koeff.</t>
  </si>
  <si>
    <t>2.5% - Koeff.</t>
  </si>
  <si>
    <t>min.</t>
  </si>
  <si>
    <t>max.</t>
  </si>
  <si>
    <t>Summe Einzel oben</t>
  </si>
  <si>
    <t>Summe Einzel unten</t>
  </si>
  <si>
    <t xml:space="preserve"> </t>
  </si>
  <si>
    <t>STICHPROBENREIHE H - M (sechs Erhebungen)</t>
  </si>
  <si>
    <t>DAS EINGETRAGENE BEISPIEL IST GESCHÜTZT UND KANN MIT KONKRETEN MESSWERTEN ÜBERSCHRIEBEN WERDEN. ANDERSEITS:  WO KEIN MESSWERT ZUM EINTRAG VORLIEGT, MÜSSEN FÜR KONKRETE AUSWERTUNGEN DIE ZELLEN LEER SEIN!</t>
  </si>
  <si>
    <t>STICHPROBENREIHE N - S (sechs Erhebungen)</t>
  </si>
  <si>
    <t>m</t>
  </si>
  <si>
    <t>ABFRAGE VON PROFILWERTEN JE NACH VORGABE [%]</t>
  </si>
  <si>
    <t>Ks95 =</t>
  </si>
  <si>
    <t>ts95 =</t>
  </si>
  <si>
    <t>Ks90 =</t>
  </si>
  <si>
    <t>ts90 =</t>
  </si>
  <si>
    <t>massg. Ks:</t>
  </si>
  <si>
    <t>massg. ts:</t>
  </si>
  <si>
    <t>eff Range:</t>
  </si>
  <si>
    <t>B.2 [%/100]</t>
  </si>
  <si>
    <t>&gt; Mittelwert</t>
  </si>
  <si>
    <t>ob. Grenze UNTEN</t>
  </si>
  <si>
    <t>unt. Grenze OBEN</t>
  </si>
  <si>
    <t>ob. Grenze OBEN</t>
  </si>
  <si>
    <t>max. 30 Werte aufweisen!</t>
  </si>
  <si>
    <t>Ausschuss UNTERHALB Mittel [%]</t>
  </si>
  <si>
    <t>Ausschuss OBERHALB Mittel [%]</t>
  </si>
  <si>
    <t>Summe Proben</t>
  </si>
  <si>
    <t>unt.  Grenze UNTEN</t>
  </si>
  <si>
    <t>unter dem Mittel:</t>
  </si>
  <si>
    <t>über dem Mittel:</t>
  </si>
  <si>
    <t xml:space="preserve">VERSTÄNDIGUNG: </t>
  </si>
  <si>
    <t xml:space="preserve">DIE RESULTIERENDEN AUSSCHUSS - ANTEILE [%] BASIEREN AUF WARNGRENZEN [%] VON : </t>
  </si>
  <si>
    <t>Anzahl  WG</t>
  </si>
  <si>
    <t>Bed.2</t>
  </si>
  <si>
    <t xml:space="preserve"> &lt;REFERENZPROFIL BENENNUNG&gt;</t>
  </si>
  <si>
    <t>DATEN &lt;REFERENZPROFIL BENENNUNG&gt;</t>
  </si>
  <si>
    <t>Sollwert (x quer)</t>
  </si>
  <si>
    <t>Toleranzwert (TW) unter "Soll"</t>
  </si>
  <si>
    <t>Toleranzwert (TW) über "Soll"</t>
  </si>
  <si>
    <t>zul. Ausschuss unter/über TW [%]</t>
  </si>
  <si>
    <t>HILFSDATEN ZUR &lt;BENENNUNG&gt;</t>
  </si>
  <si>
    <t>ALLGEMEINER RECHNUNGSANSATZ (Textlich):</t>
  </si>
  <si>
    <t>Profilgrenzen:</t>
  </si>
  <si>
    <t>wobei uo:</t>
  </si>
  <si>
    <t>Proflgrenze oben - Profilgrenze unten</t>
  </si>
  <si>
    <t>sowie ug:</t>
  </si>
  <si>
    <t>mit Expg':</t>
  </si>
  <si>
    <t>(ug'/3.0575)*100%</t>
  </si>
  <si>
    <t>BERECHNUNG MIT FORMELN:</t>
  </si>
  <si>
    <t>4.893 - 2.565 *(0,1%) ^[Expo] = 3,0575 = fix</t>
  </si>
  <si>
    <t xml:space="preserve">{[1453]^[1,000297)^(0,1%)]} / 10000 </t>
  </si>
  <si>
    <t>u0 =</t>
  </si>
  <si>
    <t>ug =</t>
  </si>
  <si>
    <t xml:space="preserve">4.893 - 2.565 *(βWarn%) ^[Expg''] </t>
  </si>
  <si>
    <t>Blaue Linie oben:</t>
  </si>
  <si>
    <t>Blaue Linie unten:</t>
  </si>
  <si>
    <t>(ug''/3.0575)*100%</t>
  </si>
  <si>
    <t>mit Expg'':</t>
  </si>
  <si>
    <t>{[1453]^[1,000297)^βWunten(%)]} / 10000 = gesucht''</t>
  </si>
  <si>
    <t>aus Expo:</t>
  </si>
  <si>
    <t>aus Expg:</t>
  </si>
  <si>
    <t xml:space="preserve">ÜBERTRAG &lt;REFERENZPROFIL BENENNUNG&gt; </t>
  </si>
  <si>
    <t>ASG 2 [%]</t>
  </si>
  <si>
    <t>ASG. 2[%]</t>
  </si>
  <si>
    <t>Quantilwert Ref. Profil; oben</t>
  </si>
  <si>
    <t xml:space="preserve">Quantilwert Ref. Profil unten </t>
  </si>
  <si>
    <t>mit Expg'''</t>
  </si>
  <si>
    <t>oben:</t>
  </si>
  <si>
    <t>unten:</t>
  </si>
  <si>
    <t>Xquer + (ug'''/uo)*abs(xquer- Profilgrnze oben)</t>
  </si>
  <si>
    <t>Xquer - (ug'''/uo)*abs(xquer- Profilgrnze oben)</t>
  </si>
  <si>
    <t>folgen Warngrenzen:</t>
  </si>
  <si>
    <t>folgen ProfilWERTE: Abfragen</t>
  </si>
  <si>
    <t>Xquer + (ug'''/uo)*abs(xquer- Profilgrenze oben)</t>
  </si>
  <si>
    <t>Xquer - (ug'''/uo)*abs(xquer- Profilgrenze oben)</t>
  </si>
  <si>
    <t>DAS KONFIDENZINTERVALL DER AUSSCHUSS - PROGNOSE IST FÜR DAS &lt;REFERENZPROFIL BENENNUNG&gt; MIT "2.5% BEIDSEITIG" FESTGELEGT.</t>
  </si>
  <si>
    <t>OBJEKT - KENNZIFFER:</t>
  </si>
  <si>
    <r>
      <rPr>
        <b/>
        <sz val="9"/>
        <color rgb="FF7030A0"/>
        <rFont val="Calibri"/>
        <family val="2"/>
        <scheme val="minor"/>
      </rPr>
      <t>VORGABE FÜR ABFRAGEN</t>
    </r>
    <r>
      <rPr>
        <sz val="9"/>
        <color rgb="FF7030A0"/>
        <rFont val="Calibri"/>
        <family val="2"/>
        <scheme val="minor"/>
      </rPr>
      <t xml:space="preserve"> (s. links): 0.1 </t>
    </r>
    <r>
      <rPr>
        <sz val="9"/>
        <color rgb="FF7030A0"/>
        <rFont val="Calibri"/>
        <family val="2"/>
      </rPr>
      <t>≤ [%] ≤ 10.0</t>
    </r>
  </si>
  <si>
    <t>NICHT varriiert werden soll!</t>
  </si>
  <si>
    <t>MERKE: Die Warngrenze ist hier zugleich die vorgegebene Toleranzgrenze, wobei Erstere nach Vorgabe des Toleranz - Prozentsatzes (Einzelserie)</t>
  </si>
  <si>
    <r>
      <rPr>
        <sz val="10"/>
        <rFont val="Calibri"/>
        <family val="2"/>
        <scheme val="minor"/>
      </rPr>
      <t xml:space="preserve">Toleranzgrenze oben </t>
    </r>
    <r>
      <rPr>
        <sz val="10"/>
        <rFont val="Calibri"/>
        <family val="2"/>
      </rPr>
      <t>≡</t>
    </r>
    <r>
      <rPr>
        <sz val="10"/>
        <rFont val="Calibri"/>
        <family val="2"/>
        <scheme val="minor"/>
      </rPr>
      <t xml:space="preserve"> WG oben  [%]</t>
    </r>
  </si>
  <si>
    <r>
      <rPr>
        <sz val="10"/>
        <rFont val="Calibri"/>
        <family val="2"/>
        <scheme val="minor"/>
      </rPr>
      <t xml:space="preserve">Toleranzgrenze unten </t>
    </r>
    <r>
      <rPr>
        <sz val="10"/>
        <rFont val="Calibri"/>
        <family val="2"/>
      </rPr>
      <t>≡ WG unten</t>
    </r>
    <r>
      <rPr>
        <sz val="10"/>
        <rFont val="Calibri"/>
        <family val="2"/>
        <scheme val="minor"/>
      </rPr>
      <t xml:space="preserve"> [%</t>
    </r>
    <r>
      <rPr>
        <sz val="9"/>
        <rFont val="Calibri"/>
        <family val="2"/>
        <scheme val="minor"/>
      </rPr>
      <t>]</t>
    </r>
  </si>
  <si>
    <t>zul. Ausschuss unt./üb. TW je [%]</t>
  </si>
  <si>
    <t>*Toleranzwert (TW) unter "Soll"</t>
  </si>
  <si>
    <t>*Toleranzwert (TW) über "Soll"</t>
  </si>
  <si>
    <r>
      <rPr>
        <b/>
        <sz val="11"/>
        <color rgb="FFFF0000"/>
        <rFont val="Calibri"/>
        <family val="2"/>
        <scheme val="minor"/>
      </rPr>
      <t>ANSATZ ZUR EINGABE:</t>
    </r>
    <r>
      <rPr>
        <sz val="11"/>
        <color rgb="FFFF0000"/>
        <rFont val="Calibri"/>
        <family val="2"/>
        <scheme val="minor"/>
      </rPr>
      <t xml:space="preserve"> Für einen  einheitlichen</t>
    </r>
  </si>
  <si>
    <t xml:space="preserve">als Toleranzgrenze = 0.1 [%] vorgegeben, deckt sich die diese gerade mit der Profilgrenze, was bedeutet, dass es sich beim resultierenden </t>
  </si>
  <si>
    <t>Ausschuss um den mutmasslichen Ausschuss ausserhalb des Referenzprofils handelt.  Werden als Toleranzgrenze beispielsweise  2.5%</t>
  </si>
  <si>
    <t>vorgegeben, so wird alles als mutmasslicher Ausschuss gezählt, was diese engere Grenze über - bzw. unterschreitet.Beachte hierzu</t>
  </si>
  <si>
    <t>hierzu den Unterschied</t>
  </si>
  <si>
    <t>Erste 3 Werte ungleich Null!</t>
  </si>
  <si>
    <t>Datum der Probe:</t>
  </si>
  <si>
    <t>Einzelwert Nr………..1</t>
  </si>
  <si>
    <t xml:space="preserve">                  (minimal) 3</t>
  </si>
  <si>
    <t>Ausreisser?</t>
  </si>
  <si>
    <t>der Stichproben - Messungen ab, welche (mutmasslich) ausserhalb, d. h. unterhalb, bez. oberhalb der vorgegebenen Toleranzgrenzen liegen. Wird</t>
  </si>
  <si>
    <t xml:space="preserve">Der angegebene Ausschuss - Anteil (bezogen auf die Gesamtheit in der "unendlich grossen Urne") leitet sich aus jenen  Werten aus der Summe </t>
  </si>
  <si>
    <r>
      <t xml:space="preserve">zum Referenzprofil &lt;BESCHREIBUNG&gt;! </t>
    </r>
    <r>
      <rPr>
        <b/>
        <sz val="11"/>
        <color theme="1"/>
        <rFont val="Calibri"/>
        <family val="2"/>
        <scheme val="minor"/>
      </rPr>
      <t/>
    </r>
  </si>
  <si>
    <t xml:space="preserve"> Bedingung: Mindestens je 50 Einzelwerte unter, resp. über dem Mittelwert! Siehe Grafik &lt;BESCHREIBUNG&gt;.</t>
  </si>
  <si>
    <t xml:space="preserve">VON 0.10% BIS 10.0% UNTERSCHREITUNGS - ODER ÜBERSCHREITUNGSHÄUFIGKEIT.  </t>
  </si>
  <si>
    <t>AUS STATISTISCHER AUSWERTUNG MIT STÜCKZAHL  5 ≤ n ≤ 1000, JE NACH VERTRAUENSNIVEAU (VN)</t>
  </si>
  <si>
    <t>AUS STATISTISCHER AUSWERTUNG MIT STÜCKZAHL  20≤ n ≤ 1000, JE NACH VERTRAUENSNIVEAU (VN)</t>
  </si>
  <si>
    <r>
      <t>VORGABEN</t>
    </r>
    <r>
      <rPr>
        <sz val="11"/>
        <color theme="0"/>
        <rFont val="Calibri"/>
        <family val="2"/>
        <scheme val="minor"/>
      </rPr>
      <t xml:space="preserve">: </t>
    </r>
    <r>
      <rPr>
        <b/>
        <sz val="10"/>
        <color theme="0"/>
        <rFont val="Arial"/>
        <family val="2"/>
      </rPr>
      <t>ENTWEDER:</t>
    </r>
  </si>
  <si>
    <r>
      <rPr>
        <sz val="11"/>
        <color theme="0"/>
        <rFont val="Calibri"/>
        <family val="2"/>
      </rPr>
      <t>≥</t>
    </r>
    <r>
      <rPr>
        <sz val="11"/>
        <color theme="0"/>
        <rFont val="Calibri"/>
        <family val="2"/>
        <scheme val="minor"/>
      </rPr>
      <t xml:space="preserve">  Mittelwert</t>
    </r>
  </si>
  <si>
    <r>
      <t xml:space="preserve">xquer </t>
    </r>
    <r>
      <rPr>
        <sz val="11"/>
        <color theme="0"/>
        <rFont val="Calibri"/>
        <family val="2"/>
      </rPr>
      <t>± [abs(xquer - Toleranzwert) * (uo / ug)]</t>
    </r>
    <r>
      <rPr>
        <sz val="11"/>
        <color theme="0"/>
        <rFont val="Calibri"/>
        <family val="2"/>
        <scheme val="minor"/>
      </rPr>
      <t xml:space="preserve"> </t>
    </r>
  </si>
  <si>
    <r>
      <t>4.893 - 2.565 *(</t>
    </r>
    <r>
      <rPr>
        <sz val="11"/>
        <color theme="0"/>
        <rFont val="Arial Unicode MS"/>
        <family val="2"/>
        <charset val="128"/>
      </rPr>
      <t>α</t>
    </r>
    <r>
      <rPr>
        <sz val="11"/>
        <color theme="0"/>
        <rFont val="Calibri"/>
        <family val="2"/>
      </rPr>
      <t>Tol.</t>
    </r>
    <r>
      <rPr>
        <sz val="11"/>
        <color theme="0"/>
        <rFont val="Calibri"/>
        <family val="2"/>
        <scheme val="minor"/>
      </rPr>
      <t xml:space="preserve">%) ^[Expg] </t>
    </r>
  </si>
  <si>
    <r>
      <t>{[1453]^[1,000297)^(</t>
    </r>
    <r>
      <rPr>
        <sz val="11"/>
        <color theme="0"/>
        <rFont val="Arial Unicode MS"/>
        <family val="2"/>
        <charset val="128"/>
      </rPr>
      <t>α</t>
    </r>
    <r>
      <rPr>
        <sz val="11"/>
        <color theme="0"/>
        <rFont val="Calibri"/>
        <family val="2"/>
      </rPr>
      <t xml:space="preserve"> Tol.</t>
    </r>
    <r>
      <rPr>
        <sz val="11"/>
        <color theme="0"/>
        <rFont val="Calibri"/>
        <family val="2"/>
        <scheme val="minor"/>
      </rPr>
      <t>%)]} / 10000 = gesucht</t>
    </r>
  </si>
  <si>
    <r>
      <t xml:space="preserve">daraus  </t>
    </r>
    <r>
      <rPr>
        <b/>
        <sz val="11"/>
        <color theme="0"/>
        <rFont val="Calibri"/>
        <family val="2"/>
        <scheme val="minor"/>
      </rPr>
      <t>RANGE</t>
    </r>
    <r>
      <rPr>
        <sz val="11"/>
        <color theme="0"/>
        <rFont val="Calibri"/>
        <family val="2"/>
        <scheme val="minor"/>
      </rPr>
      <t>:</t>
    </r>
  </si>
  <si>
    <r>
      <t xml:space="preserve">ferner für </t>
    </r>
    <r>
      <rPr>
        <b/>
        <sz val="11"/>
        <color theme="0"/>
        <rFont val="Calibri"/>
        <family val="2"/>
        <scheme val="minor"/>
      </rPr>
      <t>Warngr</t>
    </r>
    <r>
      <rPr>
        <sz val="11"/>
        <color theme="0"/>
        <rFont val="Calibri"/>
        <family val="2"/>
        <scheme val="minor"/>
      </rPr>
      <t>.:</t>
    </r>
  </si>
  <si>
    <r>
      <t xml:space="preserve">bei Vorgabe 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>%</t>
    </r>
    <r>
      <rPr>
        <b/>
        <sz val="11"/>
        <color theme="0"/>
        <rFont val="Calibri"/>
        <family val="2"/>
      </rPr>
      <t xml:space="preserve"> oben: ug'</t>
    </r>
    <r>
      <rPr>
        <sz val="11"/>
        <color theme="0"/>
        <rFont val="Calibri"/>
        <family val="2"/>
      </rPr>
      <t>:</t>
    </r>
  </si>
  <si>
    <r>
      <t>4.893 - 2.565 *(</t>
    </r>
    <r>
      <rPr>
        <sz val="11"/>
        <color theme="0"/>
        <rFont val="Arial Unicode MS"/>
        <family val="2"/>
      </rPr>
      <t>βWarn</t>
    </r>
    <r>
      <rPr>
        <sz val="11"/>
        <color theme="0"/>
        <rFont val="Calibri"/>
        <family val="2"/>
        <scheme val="minor"/>
      </rPr>
      <t xml:space="preserve">%) ^[Expg'] </t>
    </r>
  </si>
  <si>
    <r>
      <t xml:space="preserve">bei Vorgabe 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 xml:space="preserve">% </t>
    </r>
    <r>
      <rPr>
        <b/>
        <sz val="11"/>
        <color theme="0"/>
        <rFont val="Calibri"/>
        <family val="2"/>
      </rPr>
      <t>unten: ug''</t>
    </r>
    <r>
      <rPr>
        <sz val="11"/>
        <color theme="0"/>
        <rFont val="Calibri"/>
        <family val="2"/>
      </rPr>
      <t>:</t>
    </r>
  </si>
  <si>
    <r>
      <t>{[1453]^[1,000297)^</t>
    </r>
    <r>
      <rPr>
        <sz val="11"/>
        <color theme="0"/>
        <rFont val="Arial Unicode MS"/>
        <family val="2"/>
      </rPr>
      <t>β</t>
    </r>
    <r>
      <rPr>
        <sz val="11"/>
        <color theme="0"/>
        <rFont val="Calibri"/>
        <family val="2"/>
      </rPr>
      <t>Woben</t>
    </r>
    <r>
      <rPr>
        <sz val="11"/>
        <color theme="0"/>
        <rFont val="Calibri"/>
        <family val="2"/>
        <scheme val="minor"/>
      </rPr>
      <t>(%)]} / 10000 = gesucht'</t>
    </r>
  </si>
  <si>
    <r>
      <t xml:space="preserve">bei Vorgabe 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  <scheme val="minor"/>
      </rPr>
      <t>Profil% --&gt;</t>
    </r>
  </si>
  <si>
    <r>
      <t>ug''': 4.893-2,565*(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</rPr>
      <t>Profil%)^[Expg''']</t>
    </r>
  </si>
  <si>
    <r>
      <t>{[1453]^[1,000297)^</t>
    </r>
    <r>
      <rPr>
        <sz val="11"/>
        <color theme="0"/>
        <rFont val="Arial Unicode MS"/>
        <family val="2"/>
      </rPr>
      <t>γ</t>
    </r>
    <r>
      <rPr>
        <sz val="11"/>
        <color theme="0"/>
        <rFont val="Calibri"/>
        <family val="2"/>
      </rPr>
      <t>Profil</t>
    </r>
    <r>
      <rPr>
        <sz val="11"/>
        <color theme="0"/>
        <rFont val="Calibri"/>
        <family val="2"/>
        <scheme val="minor"/>
      </rPr>
      <t>(%)]} / 10000 = gesucht''</t>
    </r>
  </si>
  <si>
    <t>Sollwert</t>
  </si>
  <si>
    <r>
      <rPr>
        <b/>
        <sz val="11"/>
        <color rgb="FFFF0000"/>
        <rFont val="Calibri"/>
        <family val="2"/>
        <scheme val="minor"/>
      </rPr>
      <t xml:space="preserve">Ausschussanteil (Restquantil:  [0,1 </t>
    </r>
    <r>
      <rPr>
        <b/>
        <sz val="11"/>
        <color rgb="FFFF0000"/>
        <rFont val="Calibri"/>
        <family val="2"/>
      </rPr>
      <t>≤ %  ≤ 5,0])</t>
    </r>
    <r>
      <rPr>
        <sz val="11"/>
        <color rgb="FFFF0000"/>
        <rFont val="Calibri"/>
        <family val="2"/>
      </rPr>
      <t xml:space="preserve"> </t>
    </r>
    <r>
      <rPr>
        <sz val="11"/>
        <color rgb="FFFF0000"/>
        <rFont val="Calibri"/>
        <family val="2"/>
        <scheme val="minor"/>
      </rPr>
      <t xml:space="preserve">ist </t>
    </r>
  </si>
  <si>
    <r>
      <t xml:space="preserve">festzulegen, wie gross der*Toleranzwert  </t>
    </r>
    <r>
      <rPr>
        <b/>
        <sz val="11"/>
        <color rgb="FFFF0000"/>
        <rFont val="Calibri"/>
        <family val="2"/>
        <scheme val="minor"/>
      </rPr>
      <t>über</t>
    </r>
  </si>
  <si>
    <t>dem SOLL sein darf. Unterer TW wird gespiegelt.</t>
  </si>
  <si>
    <t>Toleranzwert oben</t>
  </si>
  <si>
    <t>Toleranzwert unten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</si>
</sst>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5" tint="-0.249977111117893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sz val="9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7030A0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color rgb="FFFF0000"/>
      <name val="Calibri"/>
      <family val="2"/>
    </font>
    <font>
      <u/>
      <sz val="11"/>
      <color theme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9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Arial"/>
      <family val="2"/>
    </font>
    <font>
      <b/>
      <sz val="16"/>
      <color theme="0"/>
      <name val="Arial"/>
      <family val="2"/>
    </font>
    <font>
      <b/>
      <i/>
      <sz val="10"/>
      <color theme="0"/>
      <name val="Arial"/>
      <family val="2"/>
    </font>
    <font>
      <sz val="11"/>
      <color theme="0"/>
      <name val="Calibri"/>
      <family val="2"/>
    </font>
    <font>
      <sz val="11"/>
      <color theme="0"/>
      <name val="Arial Unicode MS"/>
      <family val="2"/>
      <charset val="128"/>
    </font>
    <font>
      <sz val="11"/>
      <color theme="0"/>
      <name val="Arial Unicode MS"/>
      <family val="2"/>
    </font>
    <font>
      <i/>
      <sz val="9"/>
      <color rgb="FFFF0000"/>
      <name val="Arial"/>
      <family val="2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</borders>
  <cellStyleXfs count="169">
    <xf numFmtId="0" fontId="0" fillId="0" borderId="0"/>
    <xf numFmtId="9" fontId="1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270">
    <xf numFmtId="0" fontId="0" fillId="0" borderId="0" xfId="0"/>
    <xf numFmtId="0" fontId="0" fillId="2" borderId="2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26" xfId="0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4" borderId="31" xfId="0" applyFont="1" applyFill="1" applyBorder="1" applyAlignment="1" applyProtection="1">
      <alignment horizontal="center"/>
      <protection locked="0"/>
    </xf>
    <xf numFmtId="0" fontId="9" fillId="4" borderId="26" xfId="0" applyFont="1" applyFill="1" applyBorder="1" applyAlignment="1" applyProtection="1">
      <alignment horizontal="center"/>
      <protection locked="0"/>
    </xf>
    <xf numFmtId="0" fontId="26" fillId="0" borderId="24" xfId="0" applyFont="1" applyBorder="1" applyProtection="1">
      <protection locked="0"/>
    </xf>
    <xf numFmtId="0" fontId="26" fillId="0" borderId="26" xfId="0" applyFont="1" applyBorder="1" applyProtection="1">
      <protection locked="0"/>
    </xf>
    <xf numFmtId="0" fontId="5" fillId="6" borderId="46" xfId="0" applyFont="1" applyFill="1" applyBorder="1" applyAlignment="1" applyProtection="1">
      <alignment horizontal="center"/>
      <protection locked="0"/>
    </xf>
    <xf numFmtId="0" fontId="27" fillId="0" borderId="26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27" fillId="0" borderId="26" xfId="0" applyFont="1" applyBorder="1" applyProtection="1">
      <protection locked="0"/>
    </xf>
    <xf numFmtId="0" fontId="44" fillId="0" borderId="0" xfId="0" applyFont="1" applyAlignment="1" applyProtection="1">
      <alignment horizontal="center"/>
      <protection locked="0"/>
    </xf>
    <xf numFmtId="0" fontId="44" fillId="0" borderId="28" xfId="0" applyFont="1" applyBorder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0" fillId="2" borderId="24" xfId="0" applyFill="1" applyBorder="1"/>
    <xf numFmtId="0" fontId="17" fillId="2" borderId="19" xfId="0" applyFont="1" applyFill="1" applyBorder="1"/>
    <xf numFmtId="0" fontId="18" fillId="2" borderId="19" xfId="0" applyFont="1" applyFill="1" applyBorder="1"/>
    <xf numFmtId="0" fontId="0" fillId="2" borderId="25" xfId="0" applyFill="1" applyBorder="1"/>
    <xf numFmtId="0" fontId="0" fillId="2" borderId="26" xfId="0" applyFill="1" applyBorder="1"/>
    <xf numFmtId="0" fontId="2" fillId="2" borderId="0" xfId="0" applyFont="1" applyFill="1"/>
    <xf numFmtId="0" fontId="9" fillId="4" borderId="24" xfId="0" applyFont="1" applyFill="1" applyBorder="1" applyAlignment="1">
      <alignment horizontal="center"/>
    </xf>
    <xf numFmtId="0" fontId="9" fillId="4" borderId="46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3" borderId="66" xfId="0" applyFont="1" applyFill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9" fillId="4" borderId="31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3" borderId="47" xfId="0" applyFont="1" applyFill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9" fillId="4" borderId="26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12" fillId="3" borderId="35" xfId="0" applyFont="1" applyFill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9" fillId="4" borderId="43" xfId="0" applyFont="1" applyFill="1" applyBorder="1" applyAlignment="1">
      <alignment horizontal="center"/>
    </xf>
    <xf numFmtId="0" fontId="10" fillId="3" borderId="43" xfId="0" applyFont="1" applyFill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12" fillId="3" borderId="38" xfId="0" applyFont="1" applyFill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9" fillId="4" borderId="61" xfId="0" applyFont="1" applyFill="1" applyBorder="1" applyAlignment="1">
      <alignment horizontal="center"/>
    </xf>
    <xf numFmtId="0" fontId="10" fillId="3" borderId="61" xfId="0" applyFont="1" applyFill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3" borderId="63" xfId="0" applyFont="1" applyFill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26" fillId="0" borderId="24" xfId="0" applyFont="1" applyBorder="1"/>
    <xf numFmtId="0" fontId="26" fillId="0" borderId="19" xfId="0" applyFont="1" applyBorder="1" applyAlignment="1">
      <alignment horizontal="center"/>
    </xf>
    <xf numFmtId="0" fontId="45" fillId="0" borderId="19" xfId="0" applyFont="1" applyBorder="1" applyAlignment="1">
      <alignment horizontal="center"/>
    </xf>
    <xf numFmtId="0" fontId="26" fillId="0" borderId="26" xfId="0" applyFont="1" applyBorder="1"/>
    <xf numFmtId="0" fontId="26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4" fillId="0" borderId="26" xfId="0" applyFont="1" applyBorder="1"/>
    <xf numFmtId="0" fontId="26" fillId="0" borderId="0" xfId="0" applyFont="1"/>
    <xf numFmtId="0" fontId="27" fillId="0" borderId="0" xfId="0" applyFont="1" applyAlignment="1">
      <alignment horizontal="center"/>
    </xf>
    <xf numFmtId="0" fontId="27" fillId="0" borderId="26" xfId="0" applyFont="1" applyBorder="1" applyAlignment="1">
      <alignment horizontal="left"/>
    </xf>
    <xf numFmtId="0" fontId="27" fillId="0" borderId="26" xfId="0" applyFont="1" applyBorder="1"/>
    <xf numFmtId="0" fontId="45" fillId="0" borderId="27" xfId="0" applyFont="1" applyBorder="1" applyAlignment="1">
      <alignment horizontal="center"/>
    </xf>
    <xf numFmtId="0" fontId="23" fillId="5" borderId="48" xfId="0" applyFont="1" applyFill="1" applyBorder="1"/>
    <xf numFmtId="0" fontId="44" fillId="0" borderId="0" xfId="0" applyFont="1" applyAlignment="1">
      <alignment horizontal="center"/>
    </xf>
    <xf numFmtId="0" fontId="44" fillId="0" borderId="29" xfId="0" applyFont="1" applyBorder="1"/>
    <xf numFmtId="0" fontId="43" fillId="0" borderId="29" xfId="0" applyFont="1" applyBorder="1"/>
    <xf numFmtId="0" fontId="27" fillId="0" borderId="25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46" fillId="0" borderId="27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5" fillId="0" borderId="29" xfId="0" applyFont="1" applyBorder="1" applyAlignment="1">
      <alignment horizontal="center"/>
    </xf>
    <xf numFmtId="0" fontId="27" fillId="0" borderId="27" xfId="0" applyFont="1" applyBorder="1"/>
    <xf numFmtId="0" fontId="22" fillId="5" borderId="50" xfId="0" applyFont="1" applyFill="1" applyBorder="1"/>
    <xf numFmtId="0" fontId="22" fillId="5" borderId="49" xfId="0" applyFont="1" applyFill="1" applyBorder="1"/>
    <xf numFmtId="0" fontId="23" fillId="5" borderId="46" xfId="0" applyFont="1" applyFill="1" applyBorder="1" applyAlignment="1">
      <alignment horizontal="center"/>
    </xf>
    <xf numFmtId="0" fontId="5" fillId="0" borderId="65" xfId="0" applyFont="1" applyBorder="1"/>
    <xf numFmtId="0" fontId="23" fillId="5" borderId="46" xfId="0" applyFont="1" applyFill="1" applyBorder="1" applyAlignment="1">
      <alignment horizontal="left"/>
    </xf>
    <xf numFmtId="0" fontId="0" fillId="0" borderId="29" xfId="0" applyBorder="1"/>
    <xf numFmtId="0" fontId="21" fillId="7" borderId="46" xfId="0" applyFont="1" applyFill="1" applyBorder="1" applyAlignment="1">
      <alignment horizontal="center"/>
    </xf>
    <xf numFmtId="0" fontId="5" fillId="2" borderId="24" xfId="0" applyFont="1" applyFill="1" applyBorder="1"/>
    <xf numFmtId="0" fontId="5" fillId="2" borderId="25" xfId="0" applyFont="1" applyFill="1" applyBorder="1"/>
    <xf numFmtId="0" fontId="36" fillId="2" borderId="31" xfId="0" applyFont="1" applyFill="1" applyBorder="1"/>
    <xf numFmtId="0" fontId="36" fillId="2" borderId="26" xfId="0" applyFont="1" applyFill="1" applyBorder="1"/>
    <xf numFmtId="0" fontId="36" fillId="2" borderId="65" xfId="0" applyFont="1" applyFill="1" applyBorder="1"/>
    <xf numFmtId="0" fontId="1" fillId="2" borderId="26" xfId="0" applyFont="1" applyFill="1" applyBorder="1"/>
    <xf numFmtId="0" fontId="2" fillId="2" borderId="25" xfId="0" applyFont="1" applyFill="1" applyBorder="1" applyAlignment="1">
      <alignment horizontal="center"/>
    </xf>
    <xf numFmtId="0" fontId="1" fillId="2" borderId="27" xfId="0" applyFont="1" applyFill="1" applyBorder="1"/>
    <xf numFmtId="0" fontId="0" fillId="2" borderId="27" xfId="0" applyFill="1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0" borderId="0" xfId="0" applyFont="1"/>
    <xf numFmtId="14" fontId="0" fillId="6" borderId="10" xfId="0" applyNumberFormat="1" applyFill="1" applyBorder="1" applyAlignment="1" applyProtection="1">
      <alignment horizontal="center"/>
      <protection locked="0"/>
    </xf>
    <xf numFmtId="14" fontId="0" fillId="6" borderId="11" xfId="0" applyNumberFormat="1" applyFill="1" applyBorder="1" applyAlignment="1" applyProtection="1">
      <alignment horizontal="center"/>
      <protection locked="0"/>
    </xf>
    <xf numFmtId="0" fontId="0" fillId="6" borderId="11" xfId="0" applyFill="1" applyBorder="1" applyAlignment="1" applyProtection="1">
      <alignment horizont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0" fillId="6" borderId="52" xfId="0" applyFill="1" applyBorder="1" applyAlignment="1" applyProtection="1">
      <alignment horizontal="center"/>
      <protection locked="0"/>
    </xf>
    <xf numFmtId="0" fontId="0" fillId="6" borderId="51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67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3" fillId="0" borderId="0" xfId="0" applyFont="1" applyAlignment="1" applyProtection="1">
      <alignment horizontal="center"/>
      <protection locked="0"/>
    </xf>
    <xf numFmtId="0" fontId="38" fillId="2" borderId="7" xfId="0" applyFont="1" applyFill="1" applyBorder="1"/>
    <xf numFmtId="0" fontId="38" fillId="2" borderId="8" xfId="0" applyFont="1" applyFill="1" applyBorder="1"/>
    <xf numFmtId="0" fontId="38" fillId="2" borderId="9" xfId="0" applyFont="1" applyFill="1" applyBorder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0" fontId="0" fillId="0" borderId="20" xfId="0" applyBorder="1"/>
    <xf numFmtId="0" fontId="0" fillId="0" borderId="8" xfId="0" applyBorder="1"/>
    <xf numFmtId="0" fontId="0" fillId="0" borderId="9" xfId="0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Border="1" applyProtection="1">
      <protection locked="0"/>
    </xf>
    <xf numFmtId="0" fontId="0" fillId="0" borderId="26" xfId="0" applyBorder="1" applyAlignment="1" applyProtection="1">
      <alignment horizontal="center"/>
      <protection locked="0"/>
    </xf>
    <xf numFmtId="0" fontId="43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2" borderId="19" xfId="0" applyFont="1" applyFill="1" applyBorder="1"/>
    <xf numFmtId="0" fontId="0" fillId="2" borderId="19" xfId="0" applyFill="1" applyBorder="1"/>
    <xf numFmtId="0" fontId="0" fillId="0" borderId="26" xfId="0" applyBorder="1"/>
    <xf numFmtId="0" fontId="9" fillId="4" borderId="45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2" fillId="0" borderId="26" xfId="0" applyFont="1" applyBorder="1"/>
    <xf numFmtId="0" fontId="12" fillId="3" borderId="0" xfId="0" applyFont="1" applyFill="1"/>
    <xf numFmtId="0" fontId="11" fillId="0" borderId="30" xfId="0" applyFont="1" applyBorder="1"/>
    <xf numFmtId="0" fontId="0" fillId="0" borderId="0" xfId="0" applyAlignment="1">
      <alignment horizontal="right"/>
    </xf>
    <xf numFmtId="0" fontId="0" fillId="0" borderId="27" xfId="0" applyBorder="1" applyAlignment="1">
      <alignment horizontal="left"/>
    </xf>
    <xf numFmtId="0" fontId="11" fillId="0" borderId="33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9" fillId="4" borderId="44" xfId="0" applyFont="1" applyFill="1" applyBorder="1" applyAlignment="1">
      <alignment horizontal="center"/>
    </xf>
    <xf numFmtId="0" fontId="10" fillId="3" borderId="44" xfId="0" applyFont="1" applyFill="1" applyBorder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3" borderId="41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45" fillId="0" borderId="19" xfId="0" applyFont="1" applyBorder="1"/>
    <xf numFmtId="0" fontId="44" fillId="0" borderId="19" xfId="0" applyFont="1" applyBorder="1"/>
    <xf numFmtId="0" fontId="43" fillId="0" borderId="0" xfId="0" applyFont="1"/>
    <xf numFmtId="0" fontId="45" fillId="0" borderId="0" xfId="0" applyFont="1"/>
    <xf numFmtId="0" fontId="44" fillId="0" borderId="0" xfId="0" applyFont="1"/>
    <xf numFmtId="0" fontId="43" fillId="0" borderId="0" xfId="0" applyFont="1" applyAlignment="1">
      <alignment horizontal="center"/>
    </xf>
    <xf numFmtId="0" fontId="0" fillId="0" borderId="30" xfId="0" applyBorder="1"/>
    <xf numFmtId="0" fontId="21" fillId="4" borderId="24" xfId="0" applyFont="1" applyFill="1" applyBorder="1"/>
    <xf numFmtId="0" fontId="21" fillId="4" borderId="25" xfId="0" applyFont="1" applyFill="1" applyBorder="1"/>
    <xf numFmtId="0" fontId="0" fillId="4" borderId="26" xfId="0" applyFill="1" applyBorder="1"/>
    <xf numFmtId="0" fontId="7" fillId="4" borderId="27" xfId="0" applyFont="1" applyFill="1" applyBorder="1" applyAlignment="1">
      <alignment horizontal="center"/>
    </xf>
    <xf numFmtId="0" fontId="45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4" borderId="26" xfId="0" applyFont="1" applyFill="1" applyBorder="1"/>
    <xf numFmtId="0" fontId="45" fillId="0" borderId="29" xfId="0" applyFont="1" applyBorder="1" applyAlignment="1">
      <alignment horizontal="left"/>
    </xf>
    <xf numFmtId="0" fontId="43" fillId="0" borderId="29" xfId="0" applyFont="1" applyBorder="1" applyAlignment="1">
      <alignment horizontal="center"/>
    </xf>
    <xf numFmtId="0" fontId="44" fillId="0" borderId="29" xfId="0" applyFont="1" applyBorder="1" applyAlignment="1">
      <alignment horizontal="left"/>
    </xf>
    <xf numFmtId="0" fontId="43" fillId="0" borderId="29" xfId="0" quotePrefix="1" applyFont="1" applyBorder="1" applyAlignment="1">
      <alignment horizontal="center"/>
    </xf>
    <xf numFmtId="0" fontId="48" fillId="0" borderId="29" xfId="0" applyFont="1" applyBorder="1"/>
    <xf numFmtId="0" fontId="11" fillId="4" borderId="28" xfId="0" applyFont="1" applyFill="1" applyBorder="1"/>
    <xf numFmtId="0" fontId="7" fillId="4" borderId="30" xfId="0" applyFont="1" applyFill="1" applyBorder="1" applyAlignment="1">
      <alignment horizontal="center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10" fontId="49" fillId="0" borderId="0" xfId="0" applyNumberFormat="1" applyFont="1" applyProtection="1">
      <protection locked="0"/>
    </xf>
    <xf numFmtId="0" fontId="51" fillId="0" borderId="0" xfId="0" applyFont="1" applyProtection="1">
      <protection locked="0"/>
    </xf>
    <xf numFmtId="0" fontId="52" fillId="0" borderId="0" xfId="0" applyFont="1" applyProtection="1">
      <protection locked="0"/>
    </xf>
    <xf numFmtId="0" fontId="53" fillId="0" borderId="0" xfId="0" applyFont="1" applyProtection="1">
      <protection locked="0"/>
    </xf>
    <xf numFmtId="0" fontId="53" fillId="0" borderId="0" xfId="0" applyFont="1" applyAlignment="1" applyProtection="1">
      <alignment horizontal="center"/>
      <protection locked="0"/>
    </xf>
    <xf numFmtId="0" fontId="53" fillId="0" borderId="0" xfId="0" applyFont="1" applyAlignment="1" applyProtection="1">
      <alignment horizontal="right"/>
      <protection locked="0"/>
    </xf>
    <xf numFmtId="0" fontId="50" fillId="0" borderId="0" xfId="0" applyFont="1" applyAlignment="1" applyProtection="1">
      <alignment horizontal="center"/>
      <protection locked="0"/>
    </xf>
    <xf numFmtId="9" fontId="44" fillId="0" borderId="0" xfId="1" applyFont="1" applyFill="1" applyProtection="1">
      <protection locked="0"/>
    </xf>
    <xf numFmtId="0" fontId="27" fillId="0" borderId="0" xfId="0" applyFont="1" applyProtection="1">
      <protection locked="0"/>
    </xf>
    <xf numFmtId="0" fontId="46" fillId="0" borderId="0" xfId="0" applyFont="1" applyAlignment="1" applyProtection="1">
      <alignment horizontal="center"/>
      <protection locked="0"/>
    </xf>
    <xf numFmtId="0" fontId="54" fillId="0" borderId="0" xfId="0" applyFont="1" applyProtection="1">
      <protection locked="0"/>
    </xf>
    <xf numFmtId="0" fontId="55" fillId="0" borderId="0" xfId="0" applyFont="1" applyAlignment="1" applyProtection="1">
      <alignment horizontal="center"/>
      <protection locked="0"/>
    </xf>
    <xf numFmtId="0" fontId="56" fillId="0" borderId="0" xfId="0" applyFont="1" applyAlignment="1" applyProtection="1">
      <alignment horizontal="center"/>
      <protection locked="0"/>
    </xf>
    <xf numFmtId="0" fontId="57" fillId="0" borderId="0" xfId="0" applyFont="1" applyAlignment="1" applyProtection="1">
      <alignment horizontal="center"/>
      <protection locked="0"/>
    </xf>
    <xf numFmtId="0" fontId="54" fillId="0" borderId="0" xfId="0" applyFont="1" applyAlignment="1" applyProtection="1">
      <alignment horizontal="center"/>
      <protection locked="0"/>
    </xf>
    <xf numFmtId="0" fontId="44" fillId="0" borderId="0" xfId="1" applyNumberFormat="1" applyFont="1" applyFill="1" applyBorder="1" applyAlignment="1" applyProtection="1">
      <alignment horizontal="center"/>
      <protection locked="0"/>
    </xf>
    <xf numFmtId="0" fontId="44" fillId="0" borderId="0" xfId="0" applyFont="1" applyAlignment="1" applyProtection="1">
      <alignment horizontal="right"/>
      <protection locked="0"/>
    </xf>
    <xf numFmtId="0" fontId="47" fillId="0" borderId="0" xfId="0" applyFont="1" applyProtection="1">
      <protection locked="0"/>
    </xf>
    <xf numFmtId="0" fontId="5" fillId="0" borderId="0" xfId="0" applyFont="1"/>
    <xf numFmtId="0" fontId="2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44" fillId="0" borderId="2" xfId="0" applyFont="1" applyBorder="1" applyAlignment="1">
      <alignment horizontal="left"/>
    </xf>
    <xf numFmtId="0" fontId="44" fillId="0" borderId="2" xfId="0" applyFont="1" applyBorder="1" applyAlignment="1">
      <alignment horizontal="center"/>
    </xf>
    <xf numFmtId="0" fontId="4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2" borderId="53" xfId="0" applyFont="1" applyFill="1" applyBorder="1" applyAlignment="1" applyProtection="1">
      <alignment horizontal="center"/>
      <protection locked="0"/>
    </xf>
    <xf numFmtId="0" fontId="7" fillId="2" borderId="54" xfId="0" applyFont="1" applyFill="1" applyBorder="1" applyAlignment="1" applyProtection="1">
      <alignment horizontal="center"/>
      <protection locked="0"/>
    </xf>
    <xf numFmtId="0" fontId="7" fillId="0" borderId="59" xfId="0" applyFont="1" applyBorder="1" applyAlignment="1" applyProtection="1">
      <alignment horizontal="center"/>
      <protection locked="0"/>
    </xf>
    <xf numFmtId="0" fontId="7" fillId="0" borderId="54" xfId="0" applyFont="1" applyBorder="1" applyAlignment="1" applyProtection="1">
      <alignment horizontal="center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42" fillId="0" borderId="0" xfId="168" applyFont="1" applyBorder="1" applyAlignment="1" applyProtection="1">
      <alignment horizontal="center"/>
    </xf>
    <xf numFmtId="0" fontId="32" fillId="0" borderId="0" xfId="168" applyAlignment="1" applyProtection="1">
      <alignment horizontal="center"/>
    </xf>
    <xf numFmtId="0" fontId="0" fillId="0" borderId="4" xfId="0" applyBorder="1" applyAlignment="1">
      <alignment horizontal="center"/>
    </xf>
    <xf numFmtId="0" fontId="29" fillId="0" borderId="0" xfId="0" applyFont="1" applyAlignment="1">
      <alignment horizontal="center"/>
    </xf>
    <xf numFmtId="0" fontId="7" fillId="0" borderId="0" xfId="0" applyFont="1"/>
    <xf numFmtId="0" fontId="21" fillId="7" borderId="46" xfId="0" applyFont="1" applyFill="1" applyBorder="1" applyAlignment="1" applyProtection="1">
      <alignment horizontal="center"/>
      <protection locked="0"/>
    </xf>
    <xf numFmtId="0" fontId="1" fillId="0" borderId="28" xfId="0" applyFont="1" applyBorder="1"/>
    <xf numFmtId="0" fontId="60" fillId="0" borderId="29" xfId="0" applyFont="1" applyBorder="1" applyAlignment="1">
      <alignment horizontal="center"/>
    </xf>
    <xf numFmtId="0" fontId="1" fillId="0" borderId="29" xfId="0" applyFont="1" applyBorder="1"/>
    <xf numFmtId="0" fontId="5" fillId="0" borderId="29" xfId="0" applyFont="1" applyBorder="1"/>
    <xf numFmtId="0" fontId="1" fillId="0" borderId="19" xfId="0" applyFont="1" applyBorder="1"/>
    <xf numFmtId="0" fontId="21" fillId="7" borderId="46" xfId="0" applyFont="1" applyFill="1" applyBorder="1" applyAlignment="1">
      <alignment horizontal="left"/>
    </xf>
    <xf numFmtId="0" fontId="61" fillId="0" borderId="0" xfId="0" applyFont="1"/>
    <xf numFmtId="0" fontId="23" fillId="6" borderId="46" xfId="0" applyFont="1" applyFill="1" applyBorder="1" applyAlignment="1" applyProtection="1">
      <alignment horizontal="center"/>
      <protection locked="0"/>
    </xf>
    <xf numFmtId="0" fontId="5" fillId="0" borderId="55" xfId="0" applyFont="1" applyBorder="1"/>
    <xf numFmtId="0" fontId="0" fillId="0" borderId="60" xfId="0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2" borderId="5" xfId="0" applyFill="1" applyBorder="1"/>
    <xf numFmtId="0" fontId="17" fillId="0" borderId="19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33" fillId="5" borderId="48" xfId="0" applyFont="1" applyFill="1" applyBorder="1"/>
    <xf numFmtId="0" fontId="22" fillId="0" borderId="49" xfId="0" applyFont="1" applyBorder="1"/>
    <xf numFmtId="0" fontId="2" fillId="6" borderId="29" xfId="0" applyFont="1" applyFill="1" applyBorder="1" applyAlignment="1" applyProtection="1">
      <alignment horizontal="center"/>
      <protection locked="0"/>
    </xf>
    <xf numFmtId="0" fontId="0" fillId="6" borderId="30" xfId="0" applyFill="1" applyBorder="1" applyProtection="1">
      <protection locked="0"/>
    </xf>
    <xf numFmtId="0" fontId="20" fillId="0" borderId="24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27" xfId="0" applyBorder="1"/>
    <xf numFmtId="0" fontId="44" fillId="0" borderId="0" xfId="0" applyFont="1" applyAlignment="1" applyProtection="1">
      <alignment horizontal="center"/>
      <protection locked="0"/>
    </xf>
  </cellXfs>
  <cellStyles count="16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8" builtinId="8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CFF"/>
      <color rgb="FFFF99FF"/>
      <color rgb="FF0080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50" b="1"/>
              <a:t>INTEGRAL - REGELKARTE MIT AUSSCHÖPFUNGSGRADEN DER ZUL.</a:t>
            </a:r>
          </a:p>
          <a:p>
            <a:pPr>
              <a:defRPr sz="1050" b="1"/>
            </a:pPr>
            <a:r>
              <a:rPr lang="de-CH" sz="1050" b="1"/>
              <a:t>MAXIMALABWEICHUNG UND GABLWEITE DER STICHPROBEN -</a:t>
            </a:r>
          </a:p>
          <a:p>
            <a:pPr>
              <a:defRPr sz="1050" b="1"/>
            </a:pPr>
            <a:r>
              <a:rPr lang="de-CH" sz="1050" b="1"/>
              <a:t>MITTELWERTE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273456314094758"/>
          <c:y val="0.27474595207167329"/>
          <c:w val="0.84894928565630323"/>
          <c:h val="0.6053503749913135"/>
        </c:manualLayout>
      </c:layout>
      <c:scatterChart>
        <c:scatterStyle val="smoothMarker"/>
        <c:varyColors val="0"/>
        <c:ser>
          <c:idx val="1"/>
          <c:order val="1"/>
          <c:tx>
            <c:v>Lage der Stichprobenmittel </c:v>
          </c:tx>
          <c:spPr>
            <a:ln w="95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ash"/>
              </a:ln>
              <a:effectLst/>
            </c:spPr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'&lt;BENENNUNG&gt;EINZELSERIEN'!$E$4:$E$27</c:f>
              <c:numCache>
                <c:formatCode>General</c:formatCode>
                <c:ptCount val="24"/>
                <c:pt idx="0">
                  <c:v>7.5</c:v>
                </c:pt>
                <c:pt idx="1">
                  <c:v>11.3</c:v>
                </c:pt>
                <c:pt idx="2">
                  <c:v>42754164377.199997</c:v>
                </c:pt>
                <c:pt idx="3">
                  <c:v>42754164377.199997</c:v>
                </c:pt>
                <c:pt idx="4">
                  <c:v>42754164377.199997</c:v>
                </c:pt>
                <c:pt idx="5">
                  <c:v>42754164377.199997</c:v>
                </c:pt>
                <c:pt idx="6">
                  <c:v>42754164377.199997</c:v>
                </c:pt>
                <c:pt idx="7">
                  <c:v>42754164377.199997</c:v>
                </c:pt>
                <c:pt idx="8">
                  <c:v>42754164377.199997</c:v>
                </c:pt>
                <c:pt idx="9">
                  <c:v>42754164377.199997</c:v>
                </c:pt>
                <c:pt idx="10">
                  <c:v>42754164377.199997</c:v>
                </c:pt>
                <c:pt idx="11">
                  <c:v>42754164377.199997</c:v>
                </c:pt>
                <c:pt idx="12">
                  <c:v>42754164377.199997</c:v>
                </c:pt>
                <c:pt idx="13">
                  <c:v>42754164377.199997</c:v>
                </c:pt>
                <c:pt idx="14">
                  <c:v>42754164377.199997</c:v>
                </c:pt>
                <c:pt idx="15">
                  <c:v>42754164377.199997</c:v>
                </c:pt>
                <c:pt idx="16">
                  <c:v>42754164377.199997</c:v>
                </c:pt>
                <c:pt idx="17">
                  <c:v>42754164377.199997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6-4BD6-B3ED-194D46FF0EE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'&lt;BENENNUNG&gt;EINZELSERIEN'!$F$4:$F$27</c:f>
              <c:numCache>
                <c:formatCode>General</c:formatCode>
                <c:ptCount val="2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6-4BD6-B3ED-194D46FF0EE9}"/>
            </c:ext>
          </c:extLst>
        </c:ser>
        <c:ser>
          <c:idx val="3"/>
          <c:order val="3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'&lt;BENENNUNG&gt;EINZELSERIEN'!$G$4:$G$27</c:f>
              <c:numCache>
                <c:formatCode>General</c:formatCode>
                <c:ptCount val="24"/>
                <c:pt idx="18">
                  <c:v>53.77</c:v>
                </c:pt>
                <c:pt idx="19">
                  <c:v>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6-4BD6-B3ED-194D46FF0EE9}"/>
            </c:ext>
          </c:extLst>
        </c:ser>
        <c:ser>
          <c:idx val="4"/>
          <c:order val="4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'&lt;BENENNUNG&gt;EINZELSERIEN'!$H$4:$H$27</c:f>
              <c:numCache>
                <c:formatCode>General</c:formatCode>
                <c:ptCount val="24"/>
                <c:pt idx="18">
                  <c:v>-53.77</c:v>
                </c:pt>
                <c:pt idx="19">
                  <c:v>-53.77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6-4BD6-B3ED-194D46FF0EE9}"/>
            </c:ext>
          </c:extLst>
        </c:ser>
        <c:ser>
          <c:idx val="5"/>
          <c:order val="5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'&lt;BENENNUNG&gt;EINZELSERIEN'!$I$4:$I$27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6-4BD6-B3ED-194D46FF0EE9}"/>
            </c:ext>
          </c:extLst>
        </c:ser>
        <c:ser>
          <c:idx val="6"/>
          <c:order val="6"/>
          <c:tx>
            <c:v>-</c:v>
          </c:tx>
          <c:spPr>
            <a:ln w="9525" cap="rnd">
              <a:solidFill>
                <a:schemeClr val="accent1">
                  <a:lumMod val="6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'&lt;BENENNUNG&gt;EINZELSERIEN'!$C$4:$C$27</c:f>
              <c:numCache>
                <c:formatCode>General</c:formatCode>
                <c:ptCount val="24"/>
                <c:pt idx="0">
                  <c:v>10</c:v>
                </c:pt>
                <c:pt idx="1">
                  <c:v>15.1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'&lt;BENENNUNG&gt;EINZELSERIEN'!$J$4:$J$27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6-4BD6-B3ED-194D46FF0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079280"/>
        <c:axId val="4780714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-</c:v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'&lt;BENENNUNG&gt;EINZELSERIEN'!$C$4:$C$27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10</c:v>
                      </c:pt>
                      <c:pt idx="1">
                        <c:v>15.1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200</c:v>
                      </c:pt>
                      <c:pt idx="20">
                        <c:v>53.77</c:v>
                      </c:pt>
                      <c:pt idx="21">
                        <c:v>53.77</c:v>
                      </c:pt>
                      <c:pt idx="22">
                        <c:v>53.77</c:v>
                      </c:pt>
                      <c:pt idx="23">
                        <c:v>53.77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'&lt;BENENNUNG&gt;EINZELSERIEN'!$D$4:$D$27</c15:sqref>
                        </c15:formulaRef>
                      </c:ext>
                    </c:extLst>
                    <c:numCache>
                      <c:formatCode>General</c:formatCode>
                      <c:ptCount val="24"/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CBA6-4BD6-B3ED-194D46FF0EE9}"/>
                  </c:ext>
                </c:extLst>
              </c15:ser>
            </c15:filteredScatterSeries>
          </c:ext>
        </c:extLst>
      </c:scatterChart>
      <c:valAx>
        <c:axId val="478079280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Ausschöpfunsgrad</a:t>
                </a:r>
                <a:r>
                  <a:rPr lang="de-CH" sz="900" baseline="0"/>
                  <a:t> [%] zur Profilgrenze nach Bedingung 1</a:t>
                </a:r>
              </a:p>
              <a:p>
                <a:pPr>
                  <a:defRPr sz="900"/>
                </a:pPr>
                <a:r>
                  <a:rPr lang="de-CH" sz="900" baseline="0"/>
                  <a:t>Rote Fläche: Profilbereich; Blaue Linien: Vorgabe Toleranzgrenzen identisch</a:t>
                </a:r>
              </a:p>
              <a:p>
                <a:pPr>
                  <a:defRPr sz="900"/>
                </a:pPr>
                <a:r>
                  <a:rPr lang="de-CH" sz="900" baseline="0"/>
                  <a:t> Warngrenzen,  bezogen auf die Profilgrenzen (100%)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0.14152088914143462"/>
              <c:y val="0.876535264822666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8071408"/>
        <c:crosses val="autoZero"/>
        <c:crossBetween val="midCat"/>
        <c:majorUnit val="10"/>
      </c:valAx>
      <c:valAx>
        <c:axId val="478071408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[%]  zur Profilgrenze </a:t>
                </a:r>
              </a:p>
              <a:p>
                <a:pPr>
                  <a:defRPr sz="900"/>
                </a:pPr>
                <a:r>
                  <a:rPr lang="de-CH" sz="900" baseline="0"/>
                  <a:t>nach Bedingung 2 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1.0287407020180569E-2"/>
              <c:y val="0.28139048810344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807928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307888993495378"/>
          <c:y val="0.17953077951145677"/>
          <c:w val="0.44123391675225387"/>
          <c:h val="5.26098508733636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-3" verticalDpi="-3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000" b="1"/>
              <a:t>INTEGRAL - REGELKARTE MIT AUSSCHÖPFUNGSGRAD  DER</a:t>
            </a:r>
            <a:r>
              <a:rPr lang="de-CH" sz="1000" b="1" baseline="0"/>
              <a:t> ZUL. MAXIMALABWEICHUNG  UND GABELWEITE DES SUMMEN - MITTELS </a:t>
            </a:r>
            <a:endParaRPr lang="de-CH" sz="1000" b="1"/>
          </a:p>
        </c:rich>
      </c:tx>
      <c:layout>
        <c:manualLayout>
          <c:xMode val="edge"/>
          <c:yMode val="edge"/>
          <c:x val="0.12698377071124967"/>
          <c:y val="6.78886625933469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037559016002284"/>
          <c:y val="0.14983130904183536"/>
          <c:w val="0.82531243765915252"/>
          <c:h val="0.67445806369345529"/>
        </c:manualLayout>
      </c:layout>
      <c:scatterChart>
        <c:scatterStyle val="smoothMarker"/>
        <c:varyColors val="0"/>
        <c:ser>
          <c:idx val="1"/>
          <c:order val="0"/>
          <c:tx>
            <c:v>Lage des Mittelwertes der Stichprobensumme </c:v>
          </c:tx>
          <c:spPr>
            <a:ln w="95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ash"/>
              </a:ln>
              <a:effectLst/>
            </c:spPr>
          </c:marker>
          <c:xVal>
            <c:numRef>
              <c:f>'&lt;BENENNUNG&gt; SERIENSUMME'!$C$4:$C$27</c:f>
              <c:numCache>
                <c:formatCode>General</c:formatCode>
                <c:ptCount val="24"/>
                <c:pt idx="0">
                  <c:v>10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SERIENSUMME'!$E$4:$E$27</c:f>
              <c:numCache>
                <c:formatCode>General</c:formatCode>
                <c:ptCount val="24"/>
                <c:pt idx="0">
                  <c:v>7.5</c:v>
                </c:pt>
                <c:pt idx="1">
                  <c:v>13.5</c:v>
                </c:pt>
                <c:pt idx="2">
                  <c:v>151337228097.39999</c:v>
                </c:pt>
                <c:pt idx="3">
                  <c:v>151337228097.39999</c:v>
                </c:pt>
                <c:pt idx="4">
                  <c:v>151337228097.39999</c:v>
                </c:pt>
                <c:pt idx="5">
                  <c:v>151337228097.39999</c:v>
                </c:pt>
                <c:pt idx="6">
                  <c:v>151337228097.39999</c:v>
                </c:pt>
                <c:pt idx="7">
                  <c:v>151337228097.39999</c:v>
                </c:pt>
                <c:pt idx="8">
                  <c:v>151337228097.39999</c:v>
                </c:pt>
                <c:pt idx="9">
                  <c:v>151337228097.39999</c:v>
                </c:pt>
                <c:pt idx="10">
                  <c:v>151337228097.39999</c:v>
                </c:pt>
                <c:pt idx="11">
                  <c:v>151337228097.39999</c:v>
                </c:pt>
                <c:pt idx="12">
                  <c:v>151337228097.39999</c:v>
                </c:pt>
                <c:pt idx="13">
                  <c:v>151337228097.39999</c:v>
                </c:pt>
                <c:pt idx="14">
                  <c:v>151337228097.39999</c:v>
                </c:pt>
                <c:pt idx="15">
                  <c:v>151337228097.39999</c:v>
                </c:pt>
                <c:pt idx="16">
                  <c:v>151337228097.39999</c:v>
                </c:pt>
                <c:pt idx="17">
                  <c:v>151337228097.39999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3B-4CCB-8917-B09C9044E328}"/>
            </c:ext>
          </c:extLst>
        </c:ser>
        <c:ser>
          <c:idx val="3"/>
          <c:order val="1"/>
          <c:tx>
            <c:v>-</c:v>
          </c:tx>
          <c:spPr>
            <a:ln w="9525" cap="rnd">
              <a:solidFill>
                <a:srgbClr val="0070C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 SERIENSUMME'!$C$4:$C$27</c:f>
              <c:numCache>
                <c:formatCode>General</c:formatCode>
                <c:ptCount val="24"/>
                <c:pt idx="0">
                  <c:v>10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SERIENSUMME'!$G$4:$G$27</c:f>
              <c:numCache>
                <c:formatCode>General</c:formatCode>
                <c:ptCount val="24"/>
                <c:pt idx="18">
                  <c:v>53.77</c:v>
                </c:pt>
                <c:pt idx="19">
                  <c:v>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93B-4CCB-8917-B09C9044E328}"/>
            </c:ext>
          </c:extLst>
        </c:ser>
        <c:ser>
          <c:idx val="4"/>
          <c:order val="2"/>
          <c:tx>
            <c:v>-</c:v>
          </c:tx>
          <c:spPr>
            <a:ln w="9525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 SERIENSUMME'!$C$4:$C$27</c:f>
              <c:numCache>
                <c:formatCode>General</c:formatCode>
                <c:ptCount val="24"/>
                <c:pt idx="0">
                  <c:v>10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SERIENSUMME'!$H$4:$H$27</c:f>
              <c:numCache>
                <c:formatCode>General</c:formatCode>
                <c:ptCount val="24"/>
                <c:pt idx="18">
                  <c:v>-53.77</c:v>
                </c:pt>
                <c:pt idx="19">
                  <c:v>-53.77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93B-4CCB-8917-B09C9044E328}"/>
            </c:ext>
          </c:extLst>
        </c:ser>
        <c:ser>
          <c:idx val="5"/>
          <c:order val="3"/>
          <c:tx>
            <c:v>-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Pt>
            <c:idx val="21"/>
            <c:marker>
              <c:symbol val="none"/>
            </c:marker>
            <c:bubble3D val="0"/>
            <c:spPr>
              <a:ln w="9525" cap="rnd">
                <a:solidFill>
                  <a:srgbClr val="0070C0"/>
                </a:solidFill>
                <a:prstDash val="dash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3B-4CCB-8917-B09C9044E328}"/>
              </c:ext>
            </c:extLst>
          </c:dPt>
          <c:xVal>
            <c:numRef>
              <c:f>'&lt;BENENNUNG&gt; SERIENSUMME'!$C$4:$C$27</c:f>
              <c:numCache>
                <c:formatCode>General</c:formatCode>
                <c:ptCount val="24"/>
                <c:pt idx="0">
                  <c:v>10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SERIENSUMME'!$I$4:$I$27</c:f>
              <c:numCache>
                <c:formatCode>General</c:formatCode>
                <c:ptCount val="24"/>
                <c:pt idx="20">
                  <c:v>500</c:v>
                </c:pt>
                <c:pt idx="2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93B-4CCB-8917-B09C9044E328}"/>
            </c:ext>
          </c:extLst>
        </c:ser>
        <c:ser>
          <c:idx val="6"/>
          <c:order val="4"/>
          <c:spPr>
            <a:ln w="9525" cap="rnd">
              <a:solidFill>
                <a:schemeClr val="accent1">
                  <a:lumMod val="6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'&lt;BENENNUNG&gt; SERIENSUMME'!$C$4:$C$27</c:f>
              <c:numCache>
                <c:formatCode>General</c:formatCode>
                <c:ptCount val="24"/>
                <c:pt idx="0">
                  <c:v>10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0</c:v>
                </c:pt>
                <c:pt idx="19">
                  <c:v>200</c:v>
                </c:pt>
                <c:pt idx="20">
                  <c:v>53.77</c:v>
                </c:pt>
                <c:pt idx="21">
                  <c:v>53.77</c:v>
                </c:pt>
                <c:pt idx="22">
                  <c:v>53.77</c:v>
                </c:pt>
                <c:pt idx="23">
                  <c:v>53.77</c:v>
                </c:pt>
              </c:numCache>
            </c:numRef>
          </c:xVal>
          <c:yVal>
            <c:numRef>
              <c:f>'&lt;BENENNUNG&gt; SERIENSUMME'!$J$4:$J$27</c:f>
              <c:numCache>
                <c:formatCode>General</c:formatCode>
                <c:ptCount val="24"/>
                <c:pt idx="22">
                  <c:v>-500</c:v>
                </c:pt>
                <c:pt idx="2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93B-4CCB-8917-B09C9044E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940808"/>
        <c:axId val="318934248"/>
      </c:scatterChart>
      <c:valAx>
        <c:axId val="318940808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[%] des </a:t>
                </a:r>
                <a:r>
                  <a:rPr lang="el-GR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</a:t>
                </a:r>
                <a:r>
                  <a:rPr lang="de-CH" sz="900" baseline="0"/>
                  <a:t>Mittels zur Profilgrenze nach Bedingung 1 </a:t>
                </a:r>
              </a:p>
              <a:p>
                <a:pPr>
                  <a:defRPr/>
                </a:pPr>
                <a:r>
                  <a:rPr lang="de-CH" sz="900" baseline="0"/>
                  <a:t>Rote Fläche: Profilbereich; Blau: Vorgabe Toleranzgrenzen identisch</a:t>
                </a:r>
              </a:p>
              <a:p>
                <a:pPr>
                  <a:defRPr/>
                </a:pPr>
                <a:r>
                  <a:rPr lang="de-CH" sz="900" baseline="0"/>
                  <a:t>Warngrenzen, bezogen auf die Profilgrenzen (100%).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0.15088695135164737"/>
              <c:y val="0.85176179900589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8934248"/>
        <c:crosses val="autoZero"/>
        <c:crossBetween val="midCat"/>
        <c:majorUnit val="10"/>
      </c:valAx>
      <c:valAx>
        <c:axId val="318934248"/>
        <c:scaling>
          <c:orientation val="minMax"/>
          <c:max val="15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/>
                  <a:t>Ausschöpfungsgrad</a:t>
                </a:r>
                <a:r>
                  <a:rPr lang="de-CH" sz="900" baseline="0"/>
                  <a:t> [%] des </a:t>
                </a:r>
                <a:r>
                  <a:rPr lang="el-GR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Σ</a:t>
                </a: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- Mittels  zur Profilgrenze </a:t>
                </a:r>
              </a:p>
              <a:p>
                <a:pPr>
                  <a:defRPr sz="900"/>
                </a:pPr>
                <a:r>
                  <a:rPr lang="de-CH" sz="900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nach </a:t>
                </a:r>
                <a:r>
                  <a:rPr lang="de-CH" sz="900" baseline="0"/>
                  <a:t>Bedingung 2  </a:t>
                </a:r>
                <a:endParaRPr lang="de-CH" sz="900"/>
              </a:p>
            </c:rich>
          </c:tx>
          <c:layout>
            <c:manualLayout>
              <c:xMode val="edge"/>
              <c:yMode val="edge"/>
              <c:x val="1.751250662234247E-2"/>
              <c:y val="0.1485133986561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894080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59227227744072"/>
          <c:y val="0.10733872081779251"/>
          <c:w val="0.74868609940895992"/>
          <c:h val="4.2215255170496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AUSSCHUSS</a:t>
            </a:r>
            <a:r>
              <a:rPr lang="de-CH" b="1" baseline="0"/>
              <a:t> - GANGLINIEN ZUR INTEGRAL - REGELKARTE</a:t>
            </a:r>
          </a:p>
          <a:p>
            <a:pPr>
              <a:defRPr b="1"/>
            </a:pPr>
            <a:r>
              <a:rPr lang="de-CH" b="1" baseline="0"/>
              <a:t>(Ausschuss - Bandbreiten oberhalb und unterhalb der definierten Warngrenzen [%])</a:t>
            </a:r>
            <a:endParaRPr lang="de-CH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Ausschussanteil unterhalb der UNTEREN  Warngrenze; unterer Schätzwert [%]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</c:numCache>
            </c:numRef>
          </c:xVal>
          <c:yVal>
            <c:numRef>
              <c:f>'AUSSCHUSS - GANGLINIE'!$B$133:$B$150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2F-4DDC-B05B-B85CE903380A}"/>
            </c:ext>
          </c:extLst>
        </c:ser>
        <c:ser>
          <c:idx val="1"/>
          <c:order val="1"/>
          <c:tx>
            <c:v>Ausschussanteil unterhalb der UNTEREN Warngrenze; oberer Schätzwert [%]</c:v>
          </c:tx>
          <c:spPr>
            <a:ln w="95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</c:numCache>
            </c:numRef>
          </c:xVal>
          <c:yVal>
            <c:numRef>
              <c:f>'AUSSCHUSS - GANGLINIE'!$C$133:$C$150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2F-4DDC-B05B-B85CE903380A}"/>
            </c:ext>
          </c:extLst>
        </c:ser>
        <c:ser>
          <c:idx val="2"/>
          <c:order val="2"/>
          <c:tx>
            <c:v>Ausschussanteil oberhalb der OBEREN Warngrenze; unterer Schätzwert [%]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</c:numCache>
            </c:numRef>
          </c:xVal>
          <c:yVal>
            <c:numRef>
              <c:f>'AUSSCHUSS - GANGLINIE'!$D$133:$D$150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2F-4DDC-B05B-B85CE903380A}"/>
            </c:ext>
          </c:extLst>
        </c:ser>
        <c:ser>
          <c:idx val="3"/>
          <c:order val="3"/>
          <c:tx>
            <c:v>Ausschussanteil oberhalb der OBEREN Warngrenze; oberer Schätzwert [%]</c:v>
          </c:tx>
          <c:spPr>
            <a:ln w="95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'AUSSCHUSS - GANGLINIE'!$A$133:$A$150</c:f>
              <c:numCache>
                <c:formatCode>General</c:formatCode>
                <c:ptCount val="18"/>
                <c:pt idx="0">
                  <c:v>5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</c:numCache>
            </c:numRef>
          </c:xVal>
          <c:yVal>
            <c:numRef>
              <c:f>'AUSSCHUSS - GANGLINIE'!$E$133:$E$150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2F-4DDC-B05B-B85CE9033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22448"/>
        <c:axId val="556324088"/>
      </c:scatterChart>
      <c:valAx>
        <c:axId val="556322448"/>
        <c:scaling>
          <c:orientation val="minMax"/>
          <c:max val="5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Summe</a:t>
                </a:r>
                <a:r>
                  <a:rPr lang="de-CH" baseline="0"/>
                  <a:t> aller Messwerte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4088"/>
        <c:crosses val="autoZero"/>
        <c:crossBetween val="midCat"/>
        <c:majorUnit val="20"/>
      </c:valAx>
      <c:valAx>
        <c:axId val="556324088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Bandbreiten der Ausschussanteile [%]</a:t>
                </a:r>
              </a:p>
              <a:p>
                <a:pPr>
                  <a:defRPr/>
                </a:pPr>
                <a:r>
                  <a:rPr lang="en-US"/>
                  <a:t> (+ = oberhalb oberem Toleranzwert; - = unterhalb unterem Toleranzwert)</a:t>
                </a:r>
              </a:p>
            </c:rich>
          </c:tx>
          <c:layout>
            <c:manualLayout>
              <c:xMode val="edge"/>
              <c:yMode val="edge"/>
              <c:x val="1.4907563987387483E-2"/>
              <c:y val="0.15984174007951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322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landscape" horizontalDpi="-3" verticalDpi="-3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1</xdr:row>
      <xdr:rowOff>0</xdr:rowOff>
    </xdr:from>
    <xdr:to>
      <xdr:col>12</xdr:col>
      <xdr:colOff>0</xdr:colOff>
      <xdr:row>20</xdr:row>
      <xdr:rowOff>137160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E3ACBDC-24D3-4F03-BB78-0E30A834A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121920</xdr:colOff>
      <xdr:row>5</xdr:row>
      <xdr:rowOff>43580</xdr:rowOff>
    </xdr:from>
    <xdr:ext cx="283791" cy="31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35B1191-9207-4D2D-9242-06FF10CF69E3}"/>
            </a:ext>
          </a:extLst>
        </xdr:cNvPr>
        <xdr:cNvSpPr txBox="1"/>
      </xdr:nvSpPr>
      <xdr:spPr>
        <a:xfrm flipV="1">
          <a:off x="8100060" y="1003700"/>
          <a:ext cx="283791" cy="31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CH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0.11301</cdr:x>
      <cdr:y>0.37705</cdr:y>
    </cdr:from>
    <cdr:to>
      <cdr:x>0.67663</cdr:x>
      <cdr:y>0.78323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AB3F1D77-D681-4D95-B81A-F1CFED9BB4F5}"/>
            </a:ext>
          </a:extLst>
        </cdr:cNvPr>
        <cdr:cNvSpPr txBox="1"/>
      </cdr:nvSpPr>
      <cdr:spPr>
        <a:xfrm xmlns:a="http://schemas.openxmlformats.org/drawingml/2006/main" flipV="1">
          <a:off x="630352" y="1404956"/>
          <a:ext cx="3143782" cy="1513500"/>
        </a:xfrm>
        <a:prstGeom xmlns:a="http://schemas.openxmlformats.org/drawingml/2006/main" prst="rect">
          <a:avLst/>
        </a:prstGeom>
        <a:solidFill xmlns:a="http://schemas.openxmlformats.org/drawingml/2006/main">
          <a:srgbClr val="FFCCFF">
            <a:alpha val="33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0.1358</cdr:x>
      <cdr:y>0.16701</cdr:y>
    </cdr:from>
    <cdr:to>
      <cdr:x>0.27846</cdr:x>
      <cdr:y>0.24033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74C58939-AA38-46C8-AC1B-6C5346AB7BC5}"/>
            </a:ext>
          </a:extLst>
        </cdr:cNvPr>
        <cdr:cNvSpPr txBox="1"/>
      </cdr:nvSpPr>
      <cdr:spPr>
        <a:xfrm xmlns:a="http://schemas.openxmlformats.org/drawingml/2006/main">
          <a:off x="754380" y="624840"/>
          <a:ext cx="79248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0.12483</cdr:x>
      <cdr:y>0.13646</cdr:y>
    </cdr:from>
    <cdr:to>
      <cdr:x>0.28944</cdr:x>
      <cdr:y>0.38086</cdr:y>
    </cdr:to>
    <cdr:sp macro="" textlink="">
      <cdr:nvSpPr>
        <cdr:cNvPr id="4" name="Textfeld 3">
          <a:extLst xmlns:a="http://schemas.openxmlformats.org/drawingml/2006/main">
            <a:ext uri="{FF2B5EF4-FFF2-40B4-BE49-F238E27FC236}">
              <a16:creationId xmlns:a16="http://schemas.microsoft.com/office/drawing/2014/main" id="{8FF46A37-2FF4-4EC4-A735-C93E3A4C1490}"/>
            </a:ext>
          </a:extLst>
        </cdr:cNvPr>
        <cdr:cNvSpPr txBox="1"/>
      </cdr:nvSpPr>
      <cdr:spPr>
        <a:xfrm xmlns:a="http://schemas.openxmlformats.org/drawingml/2006/main">
          <a:off x="693420" y="5105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0.1166</cdr:x>
      <cdr:y>0.16904</cdr:y>
    </cdr:from>
    <cdr:to>
      <cdr:x>0.25377</cdr:x>
      <cdr:y>0.23829</cdr:y>
    </cdr:to>
    <cdr:sp macro="" textlink="">
      <cdr:nvSpPr>
        <cdr:cNvPr id="5" name="Textfeld 4">
          <a:extLst xmlns:a="http://schemas.openxmlformats.org/drawingml/2006/main">
            <a:ext uri="{FF2B5EF4-FFF2-40B4-BE49-F238E27FC236}">
              <a16:creationId xmlns:a16="http://schemas.microsoft.com/office/drawing/2014/main" id="{0F3DA2EE-050D-4859-9C50-49B4E67B79F0}"/>
            </a:ext>
          </a:extLst>
        </cdr:cNvPr>
        <cdr:cNvSpPr txBox="1"/>
      </cdr:nvSpPr>
      <cdr:spPr>
        <a:xfrm xmlns:a="http://schemas.openxmlformats.org/drawingml/2006/main">
          <a:off x="647700" y="632460"/>
          <a:ext cx="762000" cy="25908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0</xdr:row>
      <xdr:rowOff>220980</xdr:rowOff>
    </xdr:from>
    <xdr:to>
      <xdr:col>11</xdr:col>
      <xdr:colOff>662940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F3EA40-517C-4963-8B83-667608FDD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685800</xdr:colOff>
      <xdr:row>10</xdr:row>
      <xdr:rowOff>30480</xdr:rowOff>
    </xdr:from>
    <xdr:ext cx="184731" cy="26456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8DBC5FC9-8C35-408B-BDD9-D2EA9B8869F5}"/>
            </a:ext>
          </a:extLst>
        </xdr:cNvPr>
        <xdr:cNvSpPr txBox="1"/>
      </xdr:nvSpPr>
      <xdr:spPr>
        <a:xfrm>
          <a:off x="6088380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CH" sz="1100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0.30333</cdr:x>
      <cdr:y>0.25</cdr:y>
    </cdr:from>
    <cdr:to>
      <cdr:x>0.50333</cdr:x>
      <cdr:y>0.58333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1ECA8BEF-929A-4A17-99E3-73489762E31E}"/>
            </a:ext>
          </a:extLst>
        </cdr:cNvPr>
        <cdr:cNvSpPr txBox="1"/>
      </cdr:nvSpPr>
      <cdr:spPr>
        <a:xfrm xmlns:a="http://schemas.openxmlformats.org/drawingml/2006/main">
          <a:off x="1386840" y="6858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0.13264</cdr:x>
      <cdr:y>0.26007</cdr:y>
    </cdr:from>
    <cdr:to>
      <cdr:x>0.68107</cdr:x>
      <cdr:y>0.71245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446FA08C-6BD2-4EF8-8816-BA831B6C7D82}"/>
            </a:ext>
          </a:extLst>
        </cdr:cNvPr>
        <cdr:cNvSpPr txBox="1"/>
      </cdr:nvSpPr>
      <cdr:spPr>
        <a:xfrm xmlns:a="http://schemas.openxmlformats.org/drawingml/2006/main">
          <a:off x="678180" y="1082040"/>
          <a:ext cx="2804160" cy="1882140"/>
        </a:xfrm>
        <a:prstGeom xmlns:a="http://schemas.openxmlformats.org/drawingml/2006/main" prst="rect">
          <a:avLst/>
        </a:prstGeom>
        <a:solidFill xmlns:a="http://schemas.openxmlformats.org/drawingml/2006/main">
          <a:srgbClr val="FFCCFF">
            <a:alpha val="33000"/>
          </a:srgb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152</xdr:row>
      <xdr:rowOff>22860</xdr:rowOff>
    </xdr:from>
    <xdr:to>
      <xdr:col>8</xdr:col>
      <xdr:colOff>754380</xdr:colOff>
      <xdr:row>172</xdr:row>
      <xdr:rowOff>15240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4054BDB-E19B-44EF-A583-BA8E3E345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0.89933</cdr:x>
      <cdr:y>0.07114</cdr:y>
    </cdr:from>
    <cdr:to>
      <cdr:x>1</cdr:x>
      <cdr:y>0.31504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EBEEF9BA-FE8E-4C11-9A89-C42B1AC7646C}"/>
            </a:ext>
          </a:extLst>
        </cdr:cNvPr>
        <cdr:cNvSpPr txBox="1"/>
      </cdr:nvSpPr>
      <cdr:spPr>
        <a:xfrm xmlns:a="http://schemas.openxmlformats.org/drawingml/2006/main">
          <a:off x="8641080" y="2667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0.2446</cdr:x>
      <cdr:y>0.1858</cdr:y>
    </cdr:from>
    <cdr:to>
      <cdr:x>0.96083</cdr:x>
      <cdr:y>0.78288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A2BACFC8-F5BA-4DDF-8CCE-AC3224451696}"/>
            </a:ext>
          </a:extLst>
        </cdr:cNvPr>
        <cdr:cNvSpPr txBox="1"/>
      </cdr:nvSpPr>
      <cdr:spPr>
        <a:xfrm xmlns:a="http://schemas.openxmlformats.org/drawingml/2006/main">
          <a:off x="2204977" y="678181"/>
          <a:ext cx="6456400" cy="217931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  <a:alpha val="3400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raphpad.com/quickcalcs/grubbs1/" TargetMode="External"/><Relationship Id="rId2" Type="http://schemas.openxmlformats.org/officeDocument/2006/relationships/hyperlink" Target="http://www.graphpad.com/quickcalcs/grubbs1/" TargetMode="External"/><Relationship Id="rId1" Type="http://schemas.openxmlformats.org/officeDocument/2006/relationships/hyperlink" Target="http://www.graphpad.com/quickcalcs/grubbs1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U67"/>
  <sheetViews>
    <sheetView workbookViewId="0">
      <selection activeCell="P18" sqref="P18"/>
    </sheetView>
  </sheetViews>
  <sheetFormatPr baseColWidth="10" defaultRowHeight="14.4" x14ac:dyDescent="0.3"/>
  <cols>
    <col min="1" max="1" width="17.77734375" customWidth="1"/>
    <col min="8" max="8" width="13.77734375" customWidth="1"/>
    <col min="9" max="9" width="13.44140625" customWidth="1"/>
    <col min="10" max="10" width="13.6640625" customWidth="1"/>
    <col min="11" max="11" width="12" customWidth="1"/>
    <col min="12" max="12" width="14.44140625" customWidth="1"/>
    <col min="13" max="13" width="14.109375" customWidth="1"/>
    <col min="14" max="14" width="13" customWidth="1"/>
    <col min="15" max="15" width="13.109375" customWidth="1"/>
    <col min="16" max="16" width="13" customWidth="1"/>
    <col min="17" max="17" width="13.6640625" customWidth="1"/>
    <col min="18" max="18" width="10.88671875" customWidth="1"/>
    <col min="19" max="19" width="11.109375" customWidth="1"/>
    <col min="21" max="21" width="12.44140625" customWidth="1"/>
  </cols>
  <sheetData>
    <row r="1" spans="1:21" ht="15" thickBot="1" x14ac:dyDescent="0.35">
      <c r="A1" s="131" t="s">
        <v>25</v>
      </c>
      <c r="B1" s="246" t="s">
        <v>108</v>
      </c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141"/>
      <c r="U1" s="214"/>
    </row>
    <row r="2" spans="1:21" ht="23.4" x14ac:dyDescent="0.45">
      <c r="A2" s="132" t="s">
        <v>26</v>
      </c>
      <c r="B2" s="248" t="s">
        <v>28</v>
      </c>
      <c r="C2" s="249"/>
      <c r="D2" s="249"/>
      <c r="E2" s="249"/>
      <c r="F2" s="249"/>
      <c r="G2" s="250"/>
      <c r="H2" s="251" t="s">
        <v>107</v>
      </c>
      <c r="I2" s="252"/>
      <c r="J2" s="252"/>
      <c r="K2" s="252"/>
      <c r="L2" s="252"/>
      <c r="M2" s="253"/>
      <c r="N2" s="251" t="s">
        <v>109</v>
      </c>
      <c r="O2" s="252"/>
      <c r="P2" s="252"/>
      <c r="Q2" s="252"/>
      <c r="R2" s="252"/>
      <c r="S2" s="252"/>
      <c r="T2" s="229"/>
      <c r="U2" s="230"/>
    </row>
    <row r="3" spans="1:21" x14ac:dyDescent="0.3">
      <c r="A3" s="132" t="s">
        <v>124</v>
      </c>
      <c r="B3" s="141" t="s">
        <v>177</v>
      </c>
      <c r="D3" s="254">
        <f>'&lt;BENENNUNG&gt;EINZELSERIEN'!$D$2</f>
        <v>1234567</v>
      </c>
      <c r="E3" s="255"/>
      <c r="F3" s="255"/>
      <c r="G3" s="256"/>
      <c r="H3" s="141" t="s">
        <v>177</v>
      </c>
      <c r="J3" s="254">
        <f t="shared" ref="J3" si="0">$D$3</f>
        <v>1234567</v>
      </c>
      <c r="K3" s="255"/>
      <c r="L3" s="255"/>
      <c r="M3" s="256"/>
      <c r="N3" s="141" t="s">
        <v>177</v>
      </c>
      <c r="P3" s="254">
        <f>'&lt;BENENNUNG&gt;EINZELSERIEN'!$D$2</f>
        <v>1234567</v>
      </c>
      <c r="Q3" s="255"/>
      <c r="R3" s="255"/>
      <c r="S3" s="256"/>
      <c r="T3" s="231"/>
    </row>
    <row r="4" spans="1:21" ht="15" thickBot="1" x14ac:dyDescent="0.35">
      <c r="A4" s="133" t="s">
        <v>191</v>
      </c>
      <c r="B4" s="142"/>
      <c r="C4" s="143"/>
      <c r="D4" s="232" t="s">
        <v>195</v>
      </c>
      <c r="E4" s="143"/>
      <c r="F4" s="143"/>
      <c r="G4" s="215"/>
      <c r="H4" s="142"/>
      <c r="I4" s="88"/>
      <c r="J4" s="233" t="s">
        <v>195</v>
      </c>
      <c r="K4" s="88"/>
      <c r="L4" s="88"/>
      <c r="M4" s="144"/>
      <c r="N4" s="142"/>
      <c r="O4" s="88"/>
      <c r="P4" s="233" t="s">
        <v>195</v>
      </c>
      <c r="Q4" s="88"/>
      <c r="R4" s="88"/>
      <c r="S4" s="88"/>
      <c r="T4" s="142"/>
      <c r="U4" s="143"/>
    </row>
    <row r="5" spans="1:21" ht="15" thickBot="1" x14ac:dyDescent="0.35">
      <c r="A5" s="134" t="s">
        <v>192</v>
      </c>
      <c r="B5" s="95">
        <v>42584</v>
      </c>
      <c r="C5" s="96">
        <v>42594</v>
      </c>
      <c r="D5" s="97" t="s">
        <v>8</v>
      </c>
      <c r="E5" s="97" t="s">
        <v>9</v>
      </c>
      <c r="F5" s="97" t="s">
        <v>10</v>
      </c>
      <c r="G5" s="98" t="s">
        <v>11</v>
      </c>
      <c r="H5" s="99" t="s">
        <v>12</v>
      </c>
      <c r="I5" s="97" t="s">
        <v>13</v>
      </c>
      <c r="J5" s="97" t="s">
        <v>14</v>
      </c>
      <c r="K5" s="97" t="s">
        <v>15</v>
      </c>
      <c r="L5" s="97" t="s">
        <v>16</v>
      </c>
      <c r="M5" s="98" t="s">
        <v>17</v>
      </c>
      <c r="N5" s="99" t="s">
        <v>18</v>
      </c>
      <c r="O5" s="100" t="s">
        <v>19</v>
      </c>
      <c r="P5" s="97" t="s">
        <v>20</v>
      </c>
      <c r="Q5" s="97" t="s">
        <v>21</v>
      </c>
      <c r="R5" s="97" t="s">
        <v>22</v>
      </c>
      <c r="S5" s="101" t="s">
        <v>23</v>
      </c>
      <c r="T5" s="234"/>
      <c r="U5" s="88"/>
    </row>
    <row r="6" spans="1:21" x14ac:dyDescent="0.3">
      <c r="A6" s="135" t="s">
        <v>193</v>
      </c>
      <c r="B6" s="102">
        <v>50.24</v>
      </c>
      <c r="C6" s="103">
        <v>50.21</v>
      </c>
      <c r="D6" s="103"/>
      <c r="E6" s="103"/>
      <c r="F6" s="103"/>
      <c r="G6" s="104"/>
      <c r="H6" s="105"/>
      <c r="I6" s="223"/>
      <c r="J6" s="103"/>
      <c r="K6" s="103"/>
      <c r="L6" s="103"/>
      <c r="M6" s="104"/>
      <c r="N6" s="105"/>
      <c r="O6" s="107"/>
      <c r="P6" s="103"/>
      <c r="Q6" s="103"/>
      <c r="R6" s="103"/>
      <c r="S6" s="106"/>
      <c r="T6" s="234"/>
      <c r="U6" s="88"/>
    </row>
    <row r="7" spans="1:21" x14ac:dyDescent="0.3">
      <c r="A7" s="136">
        <v>2</v>
      </c>
      <c r="B7" s="102">
        <v>49.85</v>
      </c>
      <c r="C7" s="108">
        <v>50.24</v>
      </c>
      <c r="D7" s="108"/>
      <c r="E7" s="108"/>
      <c r="F7" s="108"/>
      <c r="G7" s="109"/>
      <c r="H7" s="110"/>
      <c r="I7" s="224"/>
      <c r="J7" s="108"/>
      <c r="K7" s="108"/>
      <c r="L7" s="108"/>
      <c r="M7" s="109"/>
      <c r="N7" s="110"/>
      <c r="O7" s="112"/>
      <c r="P7" s="108"/>
      <c r="Q7" s="108"/>
      <c r="R7" s="108"/>
      <c r="S7" s="111"/>
      <c r="T7" s="234"/>
      <c r="U7" s="88"/>
    </row>
    <row r="8" spans="1:21" x14ac:dyDescent="0.3">
      <c r="A8" s="137" t="s">
        <v>194</v>
      </c>
      <c r="B8" s="102">
        <v>50.28</v>
      </c>
      <c r="C8" s="108">
        <v>49.83</v>
      </c>
      <c r="D8" s="108"/>
      <c r="E8" s="108"/>
      <c r="F8" s="108"/>
      <c r="G8" s="109"/>
      <c r="H8" s="110"/>
      <c r="I8" s="224"/>
      <c r="J8" s="108"/>
      <c r="K8" s="108"/>
      <c r="L8" s="108"/>
      <c r="M8" s="109"/>
      <c r="N8" s="110"/>
      <c r="O8" s="112"/>
      <c r="P8" s="108"/>
      <c r="Q8" s="108"/>
      <c r="R8" s="108"/>
      <c r="S8" s="111"/>
      <c r="T8" s="234"/>
      <c r="U8" s="88"/>
    </row>
    <row r="9" spans="1:21" x14ac:dyDescent="0.3">
      <c r="A9" s="138">
        <v>4</v>
      </c>
      <c r="B9" s="113">
        <v>49.83</v>
      </c>
      <c r="C9" s="114">
        <v>49.85</v>
      </c>
      <c r="D9" s="114"/>
      <c r="E9" s="114"/>
      <c r="F9" s="114"/>
      <c r="G9" s="115"/>
      <c r="H9" s="116"/>
      <c r="I9" s="225"/>
      <c r="J9" s="114"/>
      <c r="K9" s="114"/>
      <c r="L9" s="114"/>
      <c r="M9" s="115"/>
      <c r="N9" s="116"/>
      <c r="O9" s="117"/>
      <c r="P9" s="114"/>
      <c r="Q9" s="114"/>
      <c r="R9" s="114"/>
      <c r="S9" s="115"/>
      <c r="T9" s="234"/>
      <c r="U9" s="88"/>
    </row>
    <row r="10" spans="1:21" x14ac:dyDescent="0.3">
      <c r="A10" s="139">
        <v>5</v>
      </c>
      <c r="B10" s="4">
        <v>50.27</v>
      </c>
      <c r="C10" s="118">
        <v>49.85</v>
      </c>
      <c r="D10" s="118"/>
      <c r="E10" s="118"/>
      <c r="F10" s="118"/>
      <c r="G10" s="119"/>
      <c r="H10" s="120"/>
      <c r="I10" s="226"/>
      <c r="J10" s="118"/>
      <c r="K10" s="118"/>
      <c r="L10" s="118"/>
      <c r="M10" s="119"/>
      <c r="N10" s="120"/>
      <c r="O10" s="122"/>
      <c r="P10" s="118"/>
      <c r="Q10" s="118"/>
      <c r="R10" s="118"/>
      <c r="S10" s="121"/>
      <c r="T10" s="234"/>
      <c r="U10" s="88"/>
    </row>
    <row r="11" spans="1:21" x14ac:dyDescent="0.3">
      <c r="A11" s="139">
        <v>6</v>
      </c>
      <c r="B11" s="4"/>
      <c r="C11" s="118">
        <v>49.82</v>
      </c>
      <c r="D11" s="118"/>
      <c r="E11" s="118"/>
      <c r="F11" s="118"/>
      <c r="G11" s="119"/>
      <c r="H11" s="120"/>
      <c r="I11" s="226"/>
      <c r="J11" s="118"/>
      <c r="K11" s="118"/>
      <c r="L11" s="118"/>
      <c r="M11" s="119"/>
      <c r="N11" s="120"/>
      <c r="O11" s="122"/>
      <c r="P11" s="118"/>
      <c r="Q11" s="118"/>
      <c r="R11" s="118"/>
      <c r="S11" s="121"/>
      <c r="T11" s="234"/>
      <c r="U11" s="88"/>
    </row>
    <row r="12" spans="1:21" x14ac:dyDescent="0.3">
      <c r="A12" s="139">
        <v>7</v>
      </c>
      <c r="B12" s="4"/>
      <c r="C12" s="118">
        <v>50.29</v>
      </c>
      <c r="D12" s="118"/>
      <c r="E12" s="118"/>
      <c r="F12" s="118"/>
      <c r="G12" s="119"/>
      <c r="H12" s="120"/>
      <c r="I12" s="226"/>
      <c r="J12" s="118"/>
      <c r="K12" s="118"/>
      <c r="L12" s="118"/>
      <c r="M12" s="119"/>
      <c r="N12" s="120"/>
      <c r="O12" s="122"/>
      <c r="P12" s="118"/>
      <c r="Q12" s="118"/>
      <c r="R12" s="118"/>
      <c r="S12" s="121"/>
      <c r="T12" s="234"/>
      <c r="U12" s="88"/>
    </row>
    <row r="13" spans="1:21" x14ac:dyDescent="0.3">
      <c r="A13" s="139">
        <v>8</v>
      </c>
      <c r="B13" s="4"/>
      <c r="C13" s="118">
        <v>50.27</v>
      </c>
      <c r="D13" s="118"/>
      <c r="E13" s="118"/>
      <c r="F13" s="118"/>
      <c r="G13" s="119"/>
      <c r="H13" s="120"/>
      <c r="I13" s="226"/>
      <c r="J13" s="118"/>
      <c r="K13" s="118"/>
      <c r="L13" s="118"/>
      <c r="M13" s="119"/>
      <c r="N13" s="120"/>
      <c r="O13" s="122"/>
      <c r="P13" s="118"/>
      <c r="Q13" s="118"/>
      <c r="R13" s="118"/>
      <c r="S13" s="121"/>
      <c r="T13" s="234"/>
      <c r="U13" s="88"/>
    </row>
    <row r="14" spans="1:21" x14ac:dyDescent="0.3">
      <c r="A14" s="139">
        <v>9</v>
      </c>
      <c r="B14" s="120"/>
      <c r="C14" s="118">
        <v>50.22</v>
      </c>
      <c r="D14" s="118"/>
      <c r="E14" s="118"/>
      <c r="F14" s="118"/>
      <c r="G14" s="119"/>
      <c r="H14" s="120"/>
      <c r="I14" s="227"/>
      <c r="J14" s="118"/>
      <c r="K14" s="118"/>
      <c r="L14" s="118"/>
      <c r="M14" s="119"/>
      <c r="N14" s="120"/>
      <c r="O14" s="122"/>
      <c r="P14" s="118"/>
      <c r="Q14" s="118"/>
      <c r="R14" s="118"/>
      <c r="S14" s="121"/>
      <c r="T14" s="234"/>
      <c r="U14" s="88"/>
    </row>
    <row r="15" spans="1:21" x14ac:dyDescent="0.3">
      <c r="A15" s="139">
        <v>10</v>
      </c>
      <c r="B15" s="120"/>
      <c r="C15" s="118">
        <v>50.23</v>
      </c>
      <c r="D15" s="118"/>
      <c r="E15" s="118"/>
      <c r="F15" s="118"/>
      <c r="G15" s="119"/>
      <c r="H15" s="120"/>
      <c r="I15" s="227"/>
      <c r="J15" s="118"/>
      <c r="K15" s="118"/>
      <c r="L15" s="118"/>
      <c r="M15" s="119"/>
      <c r="N15" s="120"/>
      <c r="O15" s="122"/>
      <c r="P15" s="118"/>
      <c r="Q15" s="118"/>
      <c r="R15" s="118"/>
      <c r="S15" s="121"/>
      <c r="T15" s="234"/>
      <c r="U15" s="88"/>
    </row>
    <row r="16" spans="1:21" x14ac:dyDescent="0.3">
      <c r="A16" s="139">
        <v>11</v>
      </c>
      <c r="B16" s="120"/>
      <c r="C16" s="118">
        <v>49.85</v>
      </c>
      <c r="D16" s="118"/>
      <c r="E16" s="118"/>
      <c r="F16" s="118"/>
      <c r="G16" s="119"/>
      <c r="H16" s="120"/>
      <c r="I16" s="227"/>
      <c r="J16" s="118"/>
      <c r="K16" s="118"/>
      <c r="L16" s="118"/>
      <c r="M16" s="119"/>
      <c r="N16" s="120"/>
      <c r="O16" s="122"/>
      <c r="P16" s="118"/>
      <c r="Q16" s="118"/>
      <c r="R16" s="118"/>
      <c r="S16" s="121"/>
      <c r="T16" s="234"/>
      <c r="U16" s="88"/>
    </row>
    <row r="17" spans="1:21" x14ac:dyDescent="0.3">
      <c r="A17" s="139">
        <v>12</v>
      </c>
      <c r="B17" s="120"/>
      <c r="C17" s="118">
        <v>49.86</v>
      </c>
      <c r="D17" s="118"/>
      <c r="E17" s="118"/>
      <c r="F17" s="118"/>
      <c r="G17" s="119"/>
      <c r="H17" s="120"/>
      <c r="I17" s="227"/>
      <c r="J17" s="118"/>
      <c r="K17" s="118"/>
      <c r="L17" s="118"/>
      <c r="M17" s="119"/>
      <c r="N17" s="120"/>
      <c r="O17" s="122"/>
      <c r="P17" s="118"/>
      <c r="Q17" s="118"/>
      <c r="R17" s="118"/>
      <c r="S17" s="121"/>
      <c r="T17" s="234"/>
      <c r="U17" s="88"/>
    </row>
    <row r="18" spans="1:21" x14ac:dyDescent="0.3">
      <c r="A18" s="139">
        <v>13</v>
      </c>
      <c r="B18" s="120"/>
      <c r="C18" s="118">
        <v>50.61</v>
      </c>
      <c r="D18" s="118"/>
      <c r="E18" s="118"/>
      <c r="F18" s="118"/>
      <c r="G18" s="119"/>
      <c r="H18" s="120"/>
      <c r="I18" s="227"/>
      <c r="J18" s="118"/>
      <c r="K18" s="118"/>
      <c r="L18" s="118"/>
      <c r="M18" s="119"/>
      <c r="N18" s="120"/>
      <c r="O18" s="122"/>
      <c r="P18" s="118"/>
      <c r="Q18" s="118"/>
      <c r="R18" s="118"/>
      <c r="S18" s="121"/>
      <c r="T18" s="234"/>
      <c r="U18" s="88"/>
    </row>
    <row r="19" spans="1:21" x14ac:dyDescent="0.3">
      <c r="A19" s="139">
        <v>14</v>
      </c>
      <c r="B19" s="120"/>
      <c r="C19" s="118"/>
      <c r="D19" s="118"/>
      <c r="E19" s="118"/>
      <c r="F19" s="118"/>
      <c r="G19" s="119"/>
      <c r="H19" s="120"/>
      <c r="I19" s="227"/>
      <c r="J19" s="118"/>
      <c r="K19" s="118"/>
      <c r="L19" s="118"/>
      <c r="M19" s="119"/>
      <c r="N19" s="120"/>
      <c r="O19" s="122"/>
      <c r="P19" s="118"/>
      <c r="Q19" s="118"/>
      <c r="R19" s="118"/>
      <c r="S19" s="121"/>
      <c r="T19" s="234"/>
      <c r="U19" s="88"/>
    </row>
    <row r="20" spans="1:21" x14ac:dyDescent="0.3">
      <c r="A20" s="139">
        <v>15</v>
      </c>
      <c r="B20" s="120"/>
      <c r="C20" s="118"/>
      <c r="D20" s="118"/>
      <c r="E20" s="118"/>
      <c r="F20" s="118"/>
      <c r="G20" s="119"/>
      <c r="H20" s="120"/>
      <c r="I20" s="227"/>
      <c r="J20" s="118"/>
      <c r="K20" s="118"/>
      <c r="L20" s="118"/>
      <c r="M20" s="119"/>
      <c r="N20" s="120"/>
      <c r="O20" s="122"/>
      <c r="P20" s="118"/>
      <c r="Q20" s="118"/>
      <c r="R20" s="118"/>
      <c r="S20" s="121"/>
      <c r="T20" s="234"/>
      <c r="U20" s="88"/>
    </row>
    <row r="21" spans="1:21" x14ac:dyDescent="0.3">
      <c r="A21" s="139">
        <v>16</v>
      </c>
      <c r="B21" s="120"/>
      <c r="C21" s="118"/>
      <c r="D21" s="118"/>
      <c r="E21" s="118"/>
      <c r="F21" s="118"/>
      <c r="G21" s="119"/>
      <c r="H21" s="120"/>
      <c r="I21" s="227"/>
      <c r="J21" s="118"/>
      <c r="K21" s="118"/>
      <c r="L21" s="118"/>
      <c r="M21" s="119"/>
      <c r="N21" s="120"/>
      <c r="O21" s="122"/>
      <c r="P21" s="118"/>
      <c r="Q21" s="118"/>
      <c r="R21" s="118"/>
      <c r="S21" s="121"/>
      <c r="T21" s="234"/>
      <c r="U21" s="88"/>
    </row>
    <row r="22" spans="1:21" x14ac:dyDescent="0.3">
      <c r="A22" s="139">
        <v>17</v>
      </c>
      <c r="B22" s="120"/>
      <c r="C22" s="118"/>
      <c r="D22" s="118"/>
      <c r="E22" s="118"/>
      <c r="F22" s="118"/>
      <c r="G22" s="119"/>
      <c r="H22" s="120"/>
      <c r="I22" s="227"/>
      <c r="J22" s="118"/>
      <c r="K22" s="118"/>
      <c r="L22" s="118"/>
      <c r="M22" s="119"/>
      <c r="N22" s="120"/>
      <c r="O22" s="122"/>
      <c r="P22" s="118"/>
      <c r="Q22" s="118"/>
      <c r="R22" s="118"/>
      <c r="S22" s="121"/>
      <c r="T22" s="234"/>
      <c r="U22" s="88"/>
    </row>
    <row r="23" spans="1:21" x14ac:dyDescent="0.3">
      <c r="A23" s="139">
        <v>18</v>
      </c>
      <c r="B23" s="120"/>
      <c r="C23" s="118"/>
      <c r="D23" s="118"/>
      <c r="E23" s="118"/>
      <c r="F23" s="118"/>
      <c r="G23" s="119"/>
      <c r="H23" s="120"/>
      <c r="I23" s="227"/>
      <c r="J23" s="118"/>
      <c r="K23" s="118"/>
      <c r="L23" s="118"/>
      <c r="M23" s="119"/>
      <c r="N23" s="120"/>
      <c r="O23" s="122"/>
      <c r="P23" s="118"/>
      <c r="Q23" s="118"/>
      <c r="R23" s="118"/>
      <c r="S23" s="121"/>
      <c r="T23" s="234"/>
      <c r="U23" s="88"/>
    </row>
    <row r="24" spans="1:21" x14ac:dyDescent="0.3">
      <c r="A24" s="139">
        <v>19</v>
      </c>
      <c r="B24" s="120"/>
      <c r="C24" s="118"/>
      <c r="D24" s="118"/>
      <c r="E24" s="118"/>
      <c r="F24" s="118"/>
      <c r="G24" s="119"/>
      <c r="H24" s="120"/>
      <c r="I24" s="227"/>
      <c r="J24" s="118"/>
      <c r="K24" s="118"/>
      <c r="L24" s="118"/>
      <c r="M24" s="119"/>
      <c r="N24" s="120"/>
      <c r="O24" s="122"/>
      <c r="P24" s="118"/>
      <c r="Q24" s="118"/>
      <c r="R24" s="118"/>
      <c r="S24" s="121"/>
      <c r="T24" s="234"/>
      <c r="U24" s="88"/>
    </row>
    <row r="25" spans="1:21" x14ac:dyDescent="0.3">
      <c r="A25" s="139">
        <v>20</v>
      </c>
      <c r="B25" s="120"/>
      <c r="C25" s="118"/>
      <c r="D25" s="118"/>
      <c r="E25" s="118"/>
      <c r="F25" s="118"/>
      <c r="G25" s="119"/>
      <c r="H25" s="120"/>
      <c r="I25" s="227"/>
      <c r="J25" s="118"/>
      <c r="K25" s="118"/>
      <c r="L25" s="118"/>
      <c r="M25" s="119"/>
      <c r="N25" s="120"/>
      <c r="O25" s="122"/>
      <c r="P25" s="118"/>
      <c r="Q25" s="118"/>
      <c r="R25" s="118"/>
      <c r="S25" s="121"/>
      <c r="T25" s="234"/>
      <c r="U25" s="88"/>
    </row>
    <row r="26" spans="1:21" x14ac:dyDescent="0.3">
      <c r="A26" s="139">
        <v>21</v>
      </c>
      <c r="B26" s="120"/>
      <c r="C26" s="118"/>
      <c r="D26" s="118"/>
      <c r="E26" s="118"/>
      <c r="F26" s="118"/>
      <c r="G26" s="119"/>
      <c r="H26" s="120"/>
      <c r="I26" s="227"/>
      <c r="J26" s="118"/>
      <c r="K26" s="118"/>
      <c r="L26" s="118"/>
      <c r="M26" s="119"/>
      <c r="N26" s="120"/>
      <c r="O26" s="122"/>
      <c r="P26" s="118"/>
      <c r="Q26" s="118"/>
      <c r="R26" s="118"/>
      <c r="S26" s="121"/>
      <c r="T26" s="234"/>
      <c r="U26" s="88"/>
    </row>
    <row r="27" spans="1:21" x14ac:dyDescent="0.3">
      <c r="A27" s="139">
        <v>22</v>
      </c>
      <c r="B27" s="120"/>
      <c r="C27" s="118"/>
      <c r="D27" s="118"/>
      <c r="E27" s="118"/>
      <c r="F27" s="118"/>
      <c r="G27" s="119"/>
      <c r="H27" s="120"/>
      <c r="I27" s="227"/>
      <c r="J27" s="118"/>
      <c r="K27" s="118"/>
      <c r="L27" s="118"/>
      <c r="M27" s="119"/>
      <c r="N27" s="120"/>
      <c r="O27" s="122"/>
      <c r="P27" s="118"/>
      <c r="Q27" s="118"/>
      <c r="R27" s="118"/>
      <c r="S27" s="121"/>
      <c r="T27" s="234"/>
      <c r="U27" s="88"/>
    </row>
    <row r="28" spans="1:21" x14ac:dyDescent="0.3">
      <c r="A28" s="139">
        <v>23</v>
      </c>
      <c r="B28" s="120"/>
      <c r="C28" s="118"/>
      <c r="D28" s="118"/>
      <c r="E28" s="118"/>
      <c r="F28" s="118"/>
      <c r="G28" s="119"/>
      <c r="H28" s="120"/>
      <c r="I28" s="227"/>
      <c r="J28" s="118"/>
      <c r="K28" s="118"/>
      <c r="L28" s="118"/>
      <c r="M28" s="119"/>
      <c r="N28" s="120"/>
      <c r="O28" s="122"/>
      <c r="P28" s="118"/>
      <c r="Q28" s="118"/>
      <c r="R28" s="118"/>
      <c r="S28" s="121"/>
      <c r="T28" s="234"/>
      <c r="U28" s="88"/>
    </row>
    <row r="29" spans="1:21" x14ac:dyDescent="0.3">
      <c r="A29" s="139">
        <v>24</v>
      </c>
      <c r="B29" s="120"/>
      <c r="C29" s="118"/>
      <c r="D29" s="118"/>
      <c r="E29" s="118"/>
      <c r="F29" s="118"/>
      <c r="G29" s="119"/>
      <c r="H29" s="120"/>
      <c r="I29" s="227"/>
      <c r="J29" s="118"/>
      <c r="K29" s="118"/>
      <c r="L29" s="118"/>
      <c r="M29" s="119"/>
      <c r="N29" s="120"/>
      <c r="O29" s="122"/>
      <c r="P29" s="118"/>
      <c r="Q29" s="118"/>
      <c r="R29" s="118"/>
      <c r="S29" s="121"/>
      <c r="T29" s="234"/>
      <c r="U29" s="88"/>
    </row>
    <row r="30" spans="1:21" x14ac:dyDescent="0.3">
      <c r="A30" s="139">
        <v>25</v>
      </c>
      <c r="B30" s="120"/>
      <c r="C30" s="118"/>
      <c r="D30" s="118"/>
      <c r="E30" s="118"/>
      <c r="F30" s="118"/>
      <c r="G30" s="119"/>
      <c r="H30" s="120"/>
      <c r="I30" s="227"/>
      <c r="J30" s="118"/>
      <c r="K30" s="118"/>
      <c r="L30" s="118"/>
      <c r="M30" s="119"/>
      <c r="N30" s="120"/>
      <c r="O30" s="122"/>
      <c r="P30" s="118"/>
      <c r="Q30" s="118"/>
      <c r="R30" s="118"/>
      <c r="S30" s="121"/>
      <c r="T30" s="234"/>
      <c r="U30" s="88"/>
    </row>
    <row r="31" spans="1:21" x14ac:dyDescent="0.3">
      <c r="A31" s="139">
        <v>26</v>
      </c>
      <c r="B31" s="120"/>
      <c r="C31" s="118"/>
      <c r="D31" s="118"/>
      <c r="E31" s="118"/>
      <c r="F31" s="118"/>
      <c r="G31" s="119"/>
      <c r="H31" s="120"/>
      <c r="I31" s="227"/>
      <c r="J31" s="118"/>
      <c r="K31" s="118"/>
      <c r="L31" s="118"/>
      <c r="M31" s="119"/>
      <c r="N31" s="120"/>
      <c r="O31" s="122"/>
      <c r="P31" s="118"/>
      <c r="Q31" s="118"/>
      <c r="R31" s="118"/>
      <c r="S31" s="121"/>
      <c r="T31" s="234"/>
      <c r="U31" s="88"/>
    </row>
    <row r="32" spans="1:21" x14ac:dyDescent="0.3">
      <c r="A32" s="139">
        <v>27</v>
      </c>
      <c r="B32" s="120"/>
      <c r="C32" s="118"/>
      <c r="D32" s="118"/>
      <c r="E32" s="118"/>
      <c r="F32" s="118"/>
      <c r="G32" s="119"/>
      <c r="H32" s="120"/>
      <c r="I32" s="227"/>
      <c r="J32" s="118"/>
      <c r="K32" s="118"/>
      <c r="L32" s="118"/>
      <c r="M32" s="119"/>
      <c r="N32" s="120"/>
      <c r="O32" s="122"/>
      <c r="P32" s="118"/>
      <c r="Q32" s="118"/>
      <c r="R32" s="118"/>
      <c r="S32" s="121"/>
      <c r="T32" s="234"/>
      <c r="U32" s="88"/>
    </row>
    <row r="33" spans="1:21" x14ac:dyDescent="0.3">
      <c r="A33" s="139">
        <v>28</v>
      </c>
      <c r="B33" s="120"/>
      <c r="C33" s="118"/>
      <c r="D33" s="118"/>
      <c r="E33" s="118"/>
      <c r="F33" s="118"/>
      <c r="G33" s="119"/>
      <c r="H33" s="120"/>
      <c r="I33" s="227"/>
      <c r="J33" s="118"/>
      <c r="K33" s="118"/>
      <c r="L33" s="118"/>
      <c r="M33" s="119"/>
      <c r="N33" s="120"/>
      <c r="O33" s="122"/>
      <c r="P33" s="118"/>
      <c r="Q33" s="118"/>
      <c r="R33" s="118"/>
      <c r="S33" s="121"/>
      <c r="T33" s="234"/>
      <c r="U33" s="88"/>
    </row>
    <row r="34" spans="1:21" x14ac:dyDescent="0.3">
      <c r="A34" s="139">
        <v>29</v>
      </c>
      <c r="B34" s="120"/>
      <c r="C34" s="118"/>
      <c r="D34" s="118"/>
      <c r="E34" s="118"/>
      <c r="F34" s="123"/>
      <c r="G34" s="119"/>
      <c r="H34" s="120"/>
      <c r="I34" s="227"/>
      <c r="J34" s="118"/>
      <c r="K34" s="118"/>
      <c r="L34" s="118"/>
      <c r="M34" s="119"/>
      <c r="N34" s="120"/>
      <c r="O34" s="122"/>
      <c r="P34" s="118"/>
      <c r="Q34" s="118"/>
      <c r="R34" s="118"/>
      <c r="S34" s="121"/>
      <c r="T34" s="234"/>
      <c r="U34" s="88"/>
    </row>
    <row r="35" spans="1:21" ht="15" thickBot="1" x14ac:dyDescent="0.35">
      <c r="A35" s="140">
        <v>30</v>
      </c>
      <c r="B35" s="124"/>
      <c r="C35" s="125"/>
      <c r="D35" s="125"/>
      <c r="E35" s="125"/>
      <c r="F35" s="125"/>
      <c r="G35" s="126"/>
      <c r="H35" s="124"/>
      <c r="I35" s="228"/>
      <c r="J35" s="125"/>
      <c r="K35" s="125"/>
      <c r="L35" s="125"/>
      <c r="M35" s="126"/>
      <c r="N35" s="124"/>
      <c r="O35" s="127"/>
      <c r="P35" s="125"/>
      <c r="Q35" s="125"/>
      <c r="R35" s="125"/>
      <c r="S35" s="128"/>
      <c r="T35" s="234"/>
      <c r="U35" s="88"/>
    </row>
    <row r="36" spans="1:21" x14ac:dyDescent="0.3">
      <c r="A36" s="216" t="s">
        <v>0</v>
      </c>
      <c r="B36" s="217">
        <f>SUM(B6:B35)</f>
        <v>250.47</v>
      </c>
      <c r="C36" s="217">
        <f>SUM(C6:C35)</f>
        <v>651.13000000000011</v>
      </c>
      <c r="D36" s="217">
        <f>SUM(D6:D35)</f>
        <v>0</v>
      </c>
      <c r="E36" s="217">
        <f t="shared" ref="E36:N36" si="1">SUM(E6:E35)</f>
        <v>0</v>
      </c>
      <c r="F36" s="217">
        <f t="shared" si="1"/>
        <v>0</v>
      </c>
      <c r="G36" s="217">
        <f t="shared" si="1"/>
        <v>0</v>
      </c>
      <c r="H36" s="217">
        <f t="shared" si="1"/>
        <v>0</v>
      </c>
      <c r="I36" s="217">
        <f t="shared" si="1"/>
        <v>0</v>
      </c>
      <c r="J36" s="217">
        <f>SUM(J6:J35)</f>
        <v>0</v>
      </c>
      <c r="K36" s="217">
        <f t="shared" si="1"/>
        <v>0</v>
      </c>
      <c r="L36" s="217">
        <f t="shared" si="1"/>
        <v>0</v>
      </c>
      <c r="M36" s="217">
        <f t="shared" si="1"/>
        <v>0</v>
      </c>
      <c r="N36" s="217">
        <f t="shared" si="1"/>
        <v>0</v>
      </c>
      <c r="O36" s="217">
        <f t="shared" ref="O36:S36" si="2">SUM(O6:O35)</f>
        <v>0</v>
      </c>
      <c r="P36" s="217">
        <f t="shared" si="2"/>
        <v>0</v>
      </c>
      <c r="Q36" s="217">
        <f t="shared" si="2"/>
        <v>0</v>
      </c>
      <c r="R36" s="217">
        <f t="shared" si="2"/>
        <v>0</v>
      </c>
      <c r="S36" s="217">
        <f t="shared" si="2"/>
        <v>0</v>
      </c>
      <c r="T36" s="88"/>
      <c r="U36" s="88"/>
    </row>
    <row r="37" spans="1:21" x14ac:dyDescent="0.3">
      <c r="A37" s="181" t="s">
        <v>1</v>
      </c>
      <c r="B37" s="62">
        <f>(B36/(B39+10^-9))</f>
        <v>50.093999989981199</v>
      </c>
      <c r="C37" s="62">
        <f>(C36/(C39+10^-9))</f>
        <v>50.086923073070245</v>
      </c>
      <c r="D37" s="62">
        <f>(D36/(D39+10^-9))</f>
        <v>0</v>
      </c>
      <c r="E37" s="62">
        <f t="shared" ref="E37:N37" si="3">(E36/(E39+10^-9))</f>
        <v>0</v>
      </c>
      <c r="F37" s="62">
        <f t="shared" si="3"/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ref="O37:S37" si="4">(O36/(O39+10^-9))</f>
        <v>0</v>
      </c>
      <c r="P37" s="62">
        <f t="shared" si="4"/>
        <v>0</v>
      </c>
      <c r="Q37" s="62">
        <f t="shared" si="4"/>
        <v>0</v>
      </c>
      <c r="R37" s="62">
        <f t="shared" si="4"/>
        <v>0</v>
      </c>
      <c r="S37" s="62">
        <f t="shared" si="4"/>
        <v>0</v>
      </c>
      <c r="T37" s="88"/>
      <c r="U37" s="88"/>
    </row>
    <row r="38" spans="1:21" x14ac:dyDescent="0.3">
      <c r="A38" s="181" t="s">
        <v>2</v>
      </c>
      <c r="B38" s="62">
        <f t="shared" ref="B38:S38" si="5">(MAX(B6:B35)-MIN(B6:B35))</f>
        <v>0.45000000000000284</v>
      </c>
      <c r="C38" s="62">
        <f t="shared" si="5"/>
        <v>0.78999999999999915</v>
      </c>
      <c r="D38" s="62">
        <f t="shared" si="5"/>
        <v>0</v>
      </c>
      <c r="E38" s="62">
        <f t="shared" si="5"/>
        <v>0</v>
      </c>
      <c r="F38" s="62">
        <f t="shared" si="5"/>
        <v>0</v>
      </c>
      <c r="G38" s="62">
        <f t="shared" si="5"/>
        <v>0</v>
      </c>
      <c r="H38" s="62">
        <f t="shared" si="5"/>
        <v>0</v>
      </c>
      <c r="I38" s="62">
        <f t="shared" si="5"/>
        <v>0</v>
      </c>
      <c r="J38" s="62">
        <f t="shared" si="5"/>
        <v>0</v>
      </c>
      <c r="K38" s="62">
        <f t="shared" si="5"/>
        <v>0</v>
      </c>
      <c r="L38" s="62">
        <f t="shared" si="5"/>
        <v>0</v>
      </c>
      <c r="M38" s="62">
        <f t="shared" si="5"/>
        <v>0</v>
      </c>
      <c r="N38" s="62">
        <f t="shared" si="5"/>
        <v>0</v>
      </c>
      <c r="O38" s="62">
        <f t="shared" si="5"/>
        <v>0</v>
      </c>
      <c r="P38" s="62">
        <f t="shared" si="5"/>
        <v>0</v>
      </c>
      <c r="Q38" s="62">
        <f t="shared" si="5"/>
        <v>0</v>
      </c>
      <c r="R38" s="62">
        <f t="shared" si="5"/>
        <v>0</v>
      </c>
      <c r="S38" s="62">
        <f t="shared" si="5"/>
        <v>0</v>
      </c>
      <c r="T38" s="88"/>
      <c r="U38" s="88"/>
    </row>
    <row r="39" spans="1:21" x14ac:dyDescent="0.3">
      <c r="A39" s="181" t="s">
        <v>3</v>
      </c>
      <c r="B39" s="62">
        <f>COUNTIF(B6:B35,"&lt;&gt;")</f>
        <v>5</v>
      </c>
      <c r="C39" s="62">
        <f>COUNTIF(C6:C35,"&lt;&gt;")</f>
        <v>13</v>
      </c>
      <c r="D39" s="62">
        <f t="shared" ref="D39:S39" si="6">COUNTIF(D6:D35,"&lt;&gt;")</f>
        <v>0</v>
      </c>
      <c r="E39" s="62">
        <f t="shared" si="6"/>
        <v>0</v>
      </c>
      <c r="F39" s="62">
        <f t="shared" si="6"/>
        <v>0</v>
      </c>
      <c r="G39" s="62">
        <f t="shared" si="6"/>
        <v>0</v>
      </c>
      <c r="H39" s="62">
        <f t="shared" si="6"/>
        <v>0</v>
      </c>
      <c r="I39" s="62">
        <f t="shared" si="6"/>
        <v>0</v>
      </c>
      <c r="J39" s="62">
        <f>COUNTIF(J6:J35,"&lt;&gt;")</f>
        <v>0</v>
      </c>
      <c r="K39" s="62">
        <f t="shared" si="6"/>
        <v>0</v>
      </c>
      <c r="L39" s="62">
        <f t="shared" si="6"/>
        <v>0</v>
      </c>
      <c r="M39" s="62">
        <f t="shared" si="6"/>
        <v>0</v>
      </c>
      <c r="N39" s="62">
        <f t="shared" si="6"/>
        <v>0</v>
      </c>
      <c r="O39" s="62">
        <f t="shared" si="6"/>
        <v>0</v>
      </c>
      <c r="P39" s="62">
        <f t="shared" si="6"/>
        <v>0</v>
      </c>
      <c r="Q39" s="62">
        <f t="shared" si="6"/>
        <v>0</v>
      </c>
      <c r="R39" s="62">
        <f t="shared" si="6"/>
        <v>0</v>
      </c>
      <c r="S39" s="62">
        <f t="shared" si="6"/>
        <v>0</v>
      </c>
      <c r="T39" s="88"/>
      <c r="U39" s="88"/>
    </row>
    <row r="40" spans="1:21" x14ac:dyDescent="0.3">
      <c r="A40" s="181" t="s">
        <v>24</v>
      </c>
      <c r="B40" s="62">
        <f>IF(B37=0,10^9,B37)</f>
        <v>50.093999989981199</v>
      </c>
      <c r="C40" s="62">
        <f>IF(C37=0,10^9,C37)</f>
        <v>50.086923073070245</v>
      </c>
      <c r="D40" s="62">
        <f>IF(D37=0,10^9,D37)</f>
        <v>1000000000</v>
      </c>
      <c r="E40" s="62">
        <f t="shared" ref="E40:N40" si="7">IF(E37=0,10^9,E37)</f>
        <v>1000000000</v>
      </c>
      <c r="F40" s="62">
        <f t="shared" si="7"/>
        <v>1000000000</v>
      </c>
      <c r="G40" s="62">
        <f t="shared" si="7"/>
        <v>1000000000</v>
      </c>
      <c r="H40" s="62">
        <f t="shared" si="7"/>
        <v>1000000000</v>
      </c>
      <c r="I40" s="62">
        <f t="shared" si="7"/>
        <v>1000000000</v>
      </c>
      <c r="J40" s="62">
        <f t="shared" si="7"/>
        <v>1000000000</v>
      </c>
      <c r="K40" s="62">
        <f t="shared" si="7"/>
        <v>1000000000</v>
      </c>
      <c r="L40" s="62">
        <f t="shared" si="7"/>
        <v>1000000000</v>
      </c>
      <c r="M40" s="62">
        <f t="shared" si="7"/>
        <v>1000000000</v>
      </c>
      <c r="N40" s="62">
        <f t="shared" si="7"/>
        <v>1000000000</v>
      </c>
      <c r="O40" s="62">
        <f t="shared" ref="O40:S40" si="8">IF(O37=0,10^9,O37)</f>
        <v>1000000000</v>
      </c>
      <c r="P40" s="62">
        <f t="shared" si="8"/>
        <v>1000000000</v>
      </c>
      <c r="Q40" s="62">
        <f t="shared" si="8"/>
        <v>1000000000</v>
      </c>
      <c r="R40" s="62">
        <f t="shared" si="8"/>
        <v>1000000000</v>
      </c>
      <c r="S40" s="62">
        <f t="shared" si="8"/>
        <v>1000000000</v>
      </c>
      <c r="T40" s="88"/>
      <c r="U40" s="88"/>
    </row>
    <row r="41" spans="1:21" x14ac:dyDescent="0.3">
      <c r="A41" s="181" t="s">
        <v>104</v>
      </c>
      <c r="B41" s="62">
        <f>COUNTIF(B6:B35,"&gt;="&amp;B50)</f>
        <v>3</v>
      </c>
      <c r="C41" s="62">
        <f>COUNTIF(B6:C35,"&gt;="&amp;C50)</f>
        <v>10</v>
      </c>
      <c r="D41" s="62">
        <f>COUNTIF(B6:D35,"&gt;="&amp;D50)</f>
        <v>10</v>
      </c>
      <c r="E41" s="62">
        <f>COUNTIF(B6:E35,"&gt;="&amp;E50)</f>
        <v>10</v>
      </c>
      <c r="F41" s="62">
        <f>COUNTIF(B6:F35,"&gt;="&amp;F50)</f>
        <v>10</v>
      </c>
      <c r="G41" s="62">
        <f>COUNTIF(B6:G35,"&gt;="&amp;G50)</f>
        <v>10</v>
      </c>
      <c r="H41" s="62">
        <f>COUNTIF(B6:H35,"&gt;="&amp;H50)</f>
        <v>10</v>
      </c>
      <c r="I41" s="62">
        <f>COUNTIF(B6:I35,"&gt;="&amp;I50)</f>
        <v>10</v>
      </c>
      <c r="J41" s="62">
        <f>COUNTIF(B6:J35,"&gt;="&amp;J50)</f>
        <v>10</v>
      </c>
      <c r="K41" s="62">
        <f>COUNTIF(B6:K35,"&gt;="&amp;K50)</f>
        <v>10</v>
      </c>
      <c r="L41" s="62">
        <f>COUNTIF(B6:L35,"&gt;="&amp;L50)</f>
        <v>10</v>
      </c>
      <c r="M41" s="62">
        <f>COUNTIF(B6:M35,"&gt;="&amp;M50)</f>
        <v>10</v>
      </c>
      <c r="N41" s="62">
        <f>COUNTIF(B6:N35,"&gt;="&amp;N50)</f>
        <v>10</v>
      </c>
      <c r="O41" s="62">
        <f>COUNTIF(B6:O35,"&gt;="&amp;O50)</f>
        <v>10</v>
      </c>
      <c r="P41" s="62">
        <f>COUNTIF(B6:P35,"&gt;="&amp;P50)</f>
        <v>10</v>
      </c>
      <c r="Q41" s="62">
        <f>COUNTIF(B6:Q35,"&gt;="&amp;Q50)</f>
        <v>10</v>
      </c>
      <c r="R41" s="62">
        <f>COUNTIF(B6:R35,"&gt;="&amp;R50)</f>
        <v>10</v>
      </c>
      <c r="S41" s="62">
        <f>COUNTIF(B6:S35,"&gt;="&amp;S50)</f>
        <v>10</v>
      </c>
      <c r="T41" s="235"/>
      <c r="U41" s="235"/>
    </row>
    <row r="42" spans="1:21" x14ac:dyDescent="0.3">
      <c r="A42" s="181" t="s">
        <v>105</v>
      </c>
      <c r="B42" s="62">
        <f>COUNTIF(B6:B35,"&lt;"&amp;B50)</f>
        <v>2</v>
      </c>
      <c r="C42" s="62">
        <f>COUNTIF(B6:C35,"&lt;"&amp;C50)</f>
        <v>8</v>
      </c>
      <c r="D42" s="62">
        <f>COUNTIF(B6:D35,"&lt;"&amp;D50)</f>
        <v>8</v>
      </c>
      <c r="E42" s="62">
        <f>COUNTIF(B6:E35,"&lt;"&amp;E50)</f>
        <v>8</v>
      </c>
      <c r="F42" s="62">
        <f>COUNTIF(B6:F35,"&lt;"&amp;F50)</f>
        <v>8</v>
      </c>
      <c r="G42" s="62">
        <f>COUNTIF(B6:G35,"&lt;"&amp;G50)</f>
        <v>8</v>
      </c>
      <c r="H42" s="62">
        <f>COUNTIF(B6:H35,"&lt;"&amp;H50)</f>
        <v>8</v>
      </c>
      <c r="I42" s="62">
        <f>COUNTIF(B6:I35,"&lt;"&amp;I50)</f>
        <v>8</v>
      </c>
      <c r="J42" s="62">
        <f>COUNTIF(B6:J35,"&lt;"&amp;J50)</f>
        <v>8</v>
      </c>
      <c r="K42" s="62">
        <f>COUNTIF(B6:K35,"&lt;"&amp;K50)</f>
        <v>8</v>
      </c>
      <c r="L42" s="62">
        <f>COUNTIF(B6:L35,"&lt;"&amp;L50)</f>
        <v>8</v>
      </c>
      <c r="M42" s="62">
        <f>COUNTIF(B6:M35,"&lt;"&amp;M50)</f>
        <v>8</v>
      </c>
      <c r="N42" s="62">
        <f>COUNTIF(B6:N35,"&lt;"&amp;N50)</f>
        <v>8</v>
      </c>
      <c r="O42" s="62">
        <f>COUNTIF(B6:O35,"&lt;"&amp;O50)</f>
        <v>8</v>
      </c>
      <c r="P42" s="62">
        <f>COUNTIF(B6:P35,"&lt;"&amp;P50)</f>
        <v>8</v>
      </c>
      <c r="Q42" s="62">
        <f>COUNTIF(B6:Q35,"&lt;"&amp;Q50)</f>
        <v>8</v>
      </c>
      <c r="R42" s="62">
        <f>COUNTIF(B6:R35,"&lt;"&amp;R50)</f>
        <v>8</v>
      </c>
      <c r="S42" s="62">
        <f>COUNTIF(B6:S35,"&lt;"&amp;S50)</f>
        <v>8</v>
      </c>
      <c r="T42" s="235"/>
      <c r="U42" s="235"/>
    </row>
    <row r="43" spans="1:21" x14ac:dyDescent="0.3">
      <c r="A43" s="181" t="s">
        <v>4</v>
      </c>
      <c r="B43" s="62">
        <f>SUM(B6:B35)</f>
        <v>250.47</v>
      </c>
      <c r="C43" s="62">
        <f>SUM(B6:C35)</f>
        <v>901.60000000000014</v>
      </c>
      <c r="D43" s="62">
        <f>SUM(B6:D35)</f>
        <v>901.60000000000014</v>
      </c>
      <c r="E43" s="62">
        <f>SUM(B6:E35)</f>
        <v>901.60000000000014</v>
      </c>
      <c r="F43" s="62">
        <f>SUM(B6:F35)</f>
        <v>901.60000000000014</v>
      </c>
      <c r="G43" s="62">
        <f>SUM(B6:G35)</f>
        <v>901.60000000000014</v>
      </c>
      <c r="H43" s="62">
        <f>SUM(B6:H35)</f>
        <v>901.60000000000014</v>
      </c>
      <c r="I43" s="62">
        <f>SUM(B6:I35)</f>
        <v>901.60000000000014</v>
      </c>
      <c r="J43" s="62">
        <f>SUM(B6:J35)</f>
        <v>901.60000000000014</v>
      </c>
      <c r="K43" s="62">
        <f>SUM(B6:K35)</f>
        <v>901.60000000000014</v>
      </c>
      <c r="L43" s="62">
        <f>SUM(B6:L35)</f>
        <v>901.60000000000014</v>
      </c>
      <c r="M43" s="62">
        <f>SUM(B6:M35)</f>
        <v>901.60000000000014</v>
      </c>
      <c r="N43" s="62">
        <f>SUM(B6:N35)</f>
        <v>901.60000000000014</v>
      </c>
      <c r="O43" s="62">
        <f>SUM(B6:O35)</f>
        <v>901.60000000000014</v>
      </c>
      <c r="P43" s="62">
        <f>SUM(B6:P35)</f>
        <v>901.60000000000014</v>
      </c>
      <c r="Q43" s="62">
        <f>SUM(B6:Q35)</f>
        <v>901.60000000000014</v>
      </c>
      <c r="R43" s="62">
        <f>SUM(B6:R35)</f>
        <v>901.60000000000014</v>
      </c>
      <c r="S43" s="62">
        <f>SUM(B6:S35)</f>
        <v>901.60000000000014</v>
      </c>
      <c r="T43" s="88"/>
      <c r="U43" s="88"/>
    </row>
    <row r="44" spans="1:21" x14ac:dyDescent="0.3">
      <c r="A44" s="181" t="s">
        <v>5</v>
      </c>
      <c r="B44" s="62">
        <f>(B43/(B46+10^-9))</f>
        <v>50.093999989981199</v>
      </c>
      <c r="C44" s="62">
        <f>(C43/(C46+10^-9))</f>
        <v>50.088888886106183</v>
      </c>
      <c r="D44" s="62">
        <f>(D43/(D46+10^-9))</f>
        <v>50.088888886106183</v>
      </c>
      <c r="E44" s="62">
        <f t="shared" ref="E44:S44" si="9">(E43/(E46+10^-9))</f>
        <v>50.088888886106183</v>
      </c>
      <c r="F44" s="62">
        <f t="shared" si="9"/>
        <v>50.088888886106183</v>
      </c>
      <c r="G44" s="62">
        <f t="shared" si="9"/>
        <v>50.088888886106183</v>
      </c>
      <c r="H44" s="62">
        <f t="shared" si="9"/>
        <v>50.088888886106183</v>
      </c>
      <c r="I44" s="62">
        <f t="shared" si="9"/>
        <v>50.088888886106183</v>
      </c>
      <c r="J44" s="62">
        <f t="shared" si="9"/>
        <v>50.088888886106183</v>
      </c>
      <c r="K44" s="62">
        <f t="shared" si="9"/>
        <v>50.088888886106183</v>
      </c>
      <c r="L44" s="62">
        <f t="shared" si="9"/>
        <v>50.088888886106183</v>
      </c>
      <c r="M44" s="62">
        <f t="shared" si="9"/>
        <v>50.088888886106183</v>
      </c>
      <c r="N44" s="62">
        <f t="shared" si="9"/>
        <v>50.088888886106183</v>
      </c>
      <c r="O44" s="62">
        <f t="shared" si="9"/>
        <v>50.088888886106183</v>
      </c>
      <c r="P44" s="62">
        <f t="shared" si="9"/>
        <v>50.088888886106183</v>
      </c>
      <c r="Q44" s="62">
        <f t="shared" si="9"/>
        <v>50.088888886106183</v>
      </c>
      <c r="R44" s="62">
        <f t="shared" si="9"/>
        <v>50.088888886106183</v>
      </c>
      <c r="S44" s="62">
        <f t="shared" si="9"/>
        <v>50.088888886106183</v>
      </c>
      <c r="T44" s="88"/>
      <c r="U44" s="88"/>
    </row>
    <row r="45" spans="1:21" x14ac:dyDescent="0.3">
      <c r="A45" s="181" t="s">
        <v>6</v>
      </c>
      <c r="B45" s="62">
        <f>(MAX(B6:B35)-MIN(B6:B35))</f>
        <v>0.45000000000000284</v>
      </c>
      <c r="C45" s="62">
        <f>(MAX(B6:C35)-MIN(B6:C35))</f>
        <v>0.78999999999999915</v>
      </c>
      <c r="D45" s="62">
        <f>(MAX(B6:D35)-MIN(B6:D35))</f>
        <v>0.78999999999999915</v>
      </c>
      <c r="E45" s="62">
        <f>(MAX(B6:E35)-MIN(B6:E35))</f>
        <v>0.78999999999999915</v>
      </c>
      <c r="F45" s="62">
        <f>(MAX(B6:F35)-MIN(B6:F35))</f>
        <v>0.78999999999999915</v>
      </c>
      <c r="G45" s="62">
        <f>(MAX(B6:G35)-MIN(B6:G35))</f>
        <v>0.78999999999999915</v>
      </c>
      <c r="H45" s="62">
        <f>(MAX(B6:H35)-MIN(B6:H35))</f>
        <v>0.78999999999999915</v>
      </c>
      <c r="I45" s="62">
        <f>(MAX(B6:I35)-MIN(B6:I35))</f>
        <v>0.78999999999999915</v>
      </c>
      <c r="J45" s="62">
        <f>(MAX(B6:J35)-MIN(B6:J35))</f>
        <v>0.78999999999999915</v>
      </c>
      <c r="K45" s="62">
        <f>(MAX(B6:K35)-MIN(B6:K35))</f>
        <v>0.78999999999999915</v>
      </c>
      <c r="L45" s="62">
        <f>(MAX(B6:L35)-MIN(B6:L35))</f>
        <v>0.78999999999999915</v>
      </c>
      <c r="M45" s="62">
        <f>(MAX(B6:M35)-MIN(B6:M35))</f>
        <v>0.78999999999999915</v>
      </c>
      <c r="N45" s="62">
        <f>(MAX(B6:N35)-MIN(B6:N35))</f>
        <v>0.78999999999999915</v>
      </c>
      <c r="O45" s="62">
        <f>(MAX(B6:O35)-MIN(B6:O35))</f>
        <v>0.78999999999999915</v>
      </c>
      <c r="P45" s="62">
        <f>(MAX(B6:P35)-MIN(B6:P35))</f>
        <v>0.78999999999999915</v>
      </c>
      <c r="Q45" s="62">
        <f>(MAX(B6:Q35)-MIN(B6:Q35))</f>
        <v>0.78999999999999915</v>
      </c>
      <c r="R45" s="62">
        <f>(MAX(B6:R35)-MIN(B6:R35))</f>
        <v>0.78999999999999915</v>
      </c>
      <c r="S45" s="62">
        <f>(MAX(B6:S35)-MIN(B6:S35))</f>
        <v>0.78999999999999915</v>
      </c>
      <c r="T45" s="88"/>
      <c r="U45" s="88"/>
    </row>
    <row r="46" spans="1:21" x14ac:dyDescent="0.3">
      <c r="A46" s="181" t="s">
        <v>7</v>
      </c>
      <c r="B46" s="62">
        <f>COUNTIF(B6:B35,"&lt;&gt;")</f>
        <v>5</v>
      </c>
      <c r="C46" s="62">
        <f>COUNTIF(B6:C35,"&lt;&gt;")</f>
        <v>18</v>
      </c>
      <c r="D46" s="62">
        <f>COUNTIF(B6:D35,"&lt;&gt;")</f>
        <v>18</v>
      </c>
      <c r="E46" s="62">
        <f>COUNTIF(B6:E35,"&lt;&gt;")</f>
        <v>18</v>
      </c>
      <c r="F46" s="62">
        <f>COUNTIF(B6:F35,"&lt;&gt;")</f>
        <v>18</v>
      </c>
      <c r="G46" s="62">
        <f>COUNTIF(B6:G35,"&lt;&gt;")</f>
        <v>18</v>
      </c>
      <c r="H46" s="62">
        <f>COUNTIF(B6:H35,"&lt;&gt;")</f>
        <v>18</v>
      </c>
      <c r="I46" s="62">
        <f>COUNTIF(B6:I35,"&lt;&gt;")</f>
        <v>18</v>
      </c>
      <c r="J46" s="62">
        <f>COUNTIF(B6:J35,"&lt;&gt;")</f>
        <v>18</v>
      </c>
      <c r="K46" s="62">
        <f>COUNTIF(B6:K35,"&lt;&gt;")</f>
        <v>18</v>
      </c>
      <c r="L46" s="62">
        <f>COUNTIF(B6:L35,"&lt;&gt;")</f>
        <v>18</v>
      </c>
      <c r="M46" s="62">
        <f>COUNTIF(B6:M35,"&lt;&gt;")</f>
        <v>18</v>
      </c>
      <c r="N46" s="62">
        <f>COUNTIF(B6:N35,"&lt;&gt;")</f>
        <v>18</v>
      </c>
      <c r="O46" s="62">
        <f>COUNTIF(B6:O35,"&lt;&gt;")</f>
        <v>18</v>
      </c>
      <c r="P46" s="62">
        <f>COUNTIF(B6:P35,"&lt;&gt;")</f>
        <v>18</v>
      </c>
      <c r="Q46" s="62">
        <f>COUNTIF(B6:Q35,"&lt;&gt;")</f>
        <v>18</v>
      </c>
      <c r="R46" s="62">
        <f>COUNTIF(B6:R35,"&lt;&gt;")</f>
        <v>18</v>
      </c>
      <c r="S46" s="62">
        <f>COUNTIF(B6:S35,"&lt;&gt;")</f>
        <v>18</v>
      </c>
      <c r="T46" s="88"/>
      <c r="U46" s="88"/>
    </row>
    <row r="47" spans="1:21" x14ac:dyDescent="0.3">
      <c r="A47" s="181" t="s">
        <v>24</v>
      </c>
      <c r="B47" s="62">
        <f>(B44)</f>
        <v>50.093999989981199</v>
      </c>
      <c r="C47" s="62">
        <f>IF(C44=B44,10^9,C44)</f>
        <v>50.088888886106183</v>
      </c>
      <c r="D47" s="62">
        <f t="shared" ref="D47:S47" si="10">IF(D44=C44,10^9,D44)</f>
        <v>1000000000</v>
      </c>
      <c r="E47" s="62">
        <f t="shared" si="10"/>
        <v>1000000000</v>
      </c>
      <c r="F47" s="62">
        <f t="shared" si="10"/>
        <v>1000000000</v>
      </c>
      <c r="G47" s="62">
        <f t="shared" si="10"/>
        <v>1000000000</v>
      </c>
      <c r="H47" s="62">
        <f t="shared" si="10"/>
        <v>1000000000</v>
      </c>
      <c r="I47" s="62">
        <f t="shared" si="10"/>
        <v>1000000000</v>
      </c>
      <c r="J47" s="62">
        <f t="shared" si="10"/>
        <v>1000000000</v>
      </c>
      <c r="K47" s="62">
        <f t="shared" si="10"/>
        <v>1000000000</v>
      </c>
      <c r="L47" s="62">
        <f t="shared" si="10"/>
        <v>1000000000</v>
      </c>
      <c r="M47" s="62">
        <f t="shared" si="10"/>
        <v>1000000000</v>
      </c>
      <c r="N47" s="62">
        <f t="shared" si="10"/>
        <v>1000000000</v>
      </c>
      <c r="O47" s="62">
        <f t="shared" si="10"/>
        <v>1000000000</v>
      </c>
      <c r="P47" s="62">
        <f t="shared" si="10"/>
        <v>1000000000</v>
      </c>
      <c r="Q47" s="62">
        <f t="shared" si="10"/>
        <v>1000000000</v>
      </c>
      <c r="R47" s="62">
        <f t="shared" si="10"/>
        <v>1000000000</v>
      </c>
      <c r="S47" s="62">
        <f t="shared" si="10"/>
        <v>1000000000</v>
      </c>
      <c r="T47" s="88"/>
      <c r="U47" s="88"/>
    </row>
    <row r="48" spans="1:21" x14ac:dyDescent="0.3">
      <c r="A48" s="218">
        <f>'AUSSCHUSS - GANGLINIE'!$G$218</f>
        <v>51.5</v>
      </c>
      <c r="B48" s="174">
        <f>COUNTIF(B6:B35,"&gt;"&amp;A48)</f>
        <v>0</v>
      </c>
      <c r="C48" s="174">
        <f>COUNTIF(B6:C35,"&gt;"&amp;A48)</f>
        <v>0</v>
      </c>
      <c r="D48" s="174">
        <f>COUNTIF(B6:D35,"&gt;"&amp;A48)</f>
        <v>0</v>
      </c>
      <c r="E48" s="174">
        <f>COUNTIF(B6:E35,"&gt;"&amp;A48)</f>
        <v>0</v>
      </c>
      <c r="F48" s="174">
        <f>COUNTIF(B6:F35,"&gt;"&amp;A48)</f>
        <v>0</v>
      </c>
      <c r="G48" s="174">
        <f>COUNTIF(B6:G35,"&gt;"&amp;A48)</f>
        <v>0</v>
      </c>
      <c r="H48" s="174">
        <f>COUNTIF(B6:H35,"&gt;"&amp;A48)</f>
        <v>0</v>
      </c>
      <c r="I48" s="174">
        <f>COUNTIF(B6:I35,"&gt;"&amp;A48)</f>
        <v>0</v>
      </c>
      <c r="J48" s="174">
        <f>COUNTIF(B6:J35,"&gt;"&amp;A48)</f>
        <v>0</v>
      </c>
      <c r="K48" s="174">
        <f>COUNTIF(B6:K35,"&gt;"&amp;A48)</f>
        <v>0</v>
      </c>
      <c r="L48" s="174">
        <f>COUNTIF(B6:L35,"&gt;"&amp;A48)</f>
        <v>0</v>
      </c>
      <c r="M48" s="174">
        <f>COUNTIF(B6:M35,"&gt;"&amp;A48)</f>
        <v>0</v>
      </c>
      <c r="N48" s="174">
        <f>COUNTIF(B6:N35,"&gt;"&amp;A48)</f>
        <v>0</v>
      </c>
      <c r="O48" s="174">
        <f>COUNTIF(B6:O35,"&gt;"&amp;A48)</f>
        <v>0</v>
      </c>
      <c r="P48" s="174">
        <f>COUNTIF(B6:P35,"&gt;"&amp;A48)</f>
        <v>0</v>
      </c>
      <c r="Q48" s="174">
        <f>COUNTIF(B6:Q35,"&gt;"&amp;A48)</f>
        <v>0</v>
      </c>
      <c r="R48" s="174">
        <f>COUNTIF(B6:R35,"&gt;"&amp;A48)</f>
        <v>0</v>
      </c>
      <c r="S48" s="174">
        <f>COUNTIF(B6:S35,"&gt;"&amp;A48)</f>
        <v>0</v>
      </c>
      <c r="T48" s="210"/>
      <c r="U48" s="210"/>
    </row>
    <row r="49" spans="1:21" x14ac:dyDescent="0.3">
      <c r="A49" s="174">
        <f>'AUSSCHUSS - GANGLINIE'!$G$219</f>
        <v>48.5</v>
      </c>
      <c r="B49" s="174">
        <f>COUNTIF(B6:B35,"&lt;"&amp;A49)</f>
        <v>0</v>
      </c>
      <c r="C49" s="174">
        <f>COUNTIF(B6:C35,"&lt;"&amp;A49)</f>
        <v>0</v>
      </c>
      <c r="D49" s="174">
        <f>COUNTIF(B6:D35,"&lt;"&amp;A49)</f>
        <v>0</v>
      </c>
      <c r="E49" s="174">
        <f>COUNTIF(B6:E35,"&lt;"&amp;A49)</f>
        <v>0</v>
      </c>
      <c r="F49" s="174">
        <f>COUNTIF(B6:F35,"&lt;"&amp;A49)</f>
        <v>0</v>
      </c>
      <c r="G49" s="174">
        <f>COUNTIF(B6:G35,"&lt;"&amp;A49)</f>
        <v>0</v>
      </c>
      <c r="H49" s="174">
        <f>COUNTIF(B6:H35,"&lt;"&amp;A49)</f>
        <v>0</v>
      </c>
      <c r="I49" s="174">
        <f>COUNTIF(B6:I35,"&lt;"&amp;A49)</f>
        <v>0</v>
      </c>
      <c r="J49" s="174">
        <f>COUNTIF(B6:J35,"&lt;"&amp;A49)</f>
        <v>0</v>
      </c>
      <c r="K49" s="174">
        <f>COUNTIF(B6:K35,"&lt;"&amp;A49)</f>
        <v>0</v>
      </c>
      <c r="L49" s="174">
        <f>COUNTIF(B6:L35,"&lt;"&amp;A49)</f>
        <v>0</v>
      </c>
      <c r="M49" s="174">
        <f>COUNTIF(B6:M35,"&lt;"&amp;A49)</f>
        <v>0</v>
      </c>
      <c r="N49" s="174">
        <f>COUNTIF(B6:N35,"&lt;"&amp;A49)</f>
        <v>0</v>
      </c>
      <c r="O49" s="174">
        <f>COUNTIF(B6:O35,"&lt;"&amp;A49)</f>
        <v>0</v>
      </c>
      <c r="P49" s="174">
        <f>COUNTIF(B6:P35,"&lt;"&amp;A49)</f>
        <v>0</v>
      </c>
      <c r="Q49" s="174">
        <f>COUNTIF(B6:Q35,"&lt;"&amp;A49)</f>
        <v>0</v>
      </c>
      <c r="R49" s="174">
        <f>COUNTIF(B6:R35,"&lt;"&amp;A49)</f>
        <v>0</v>
      </c>
      <c r="S49" s="174">
        <f>COUNTIF(B6:S35,"&lt;"&amp;A49)</f>
        <v>0</v>
      </c>
      <c r="T49" s="88"/>
      <c r="U49" s="88"/>
    </row>
    <row r="50" spans="1:21" x14ac:dyDescent="0.3">
      <c r="A50" s="62" t="s">
        <v>217</v>
      </c>
      <c r="B50" s="62">
        <f>'&lt;BENENNUNG&gt;EINZELSERIEN'!$L$23</f>
        <v>50</v>
      </c>
      <c r="C50" s="62">
        <f>'&lt;BENENNUNG&gt;EINZELSERIEN'!$L$23</f>
        <v>50</v>
      </c>
      <c r="D50" s="62">
        <f>'&lt;BENENNUNG&gt;EINZELSERIEN'!$L$23</f>
        <v>50</v>
      </c>
      <c r="E50" s="62">
        <f>'&lt;BENENNUNG&gt;EINZELSERIEN'!$L$23</f>
        <v>50</v>
      </c>
      <c r="F50" s="62">
        <f>'&lt;BENENNUNG&gt;EINZELSERIEN'!$L$23</f>
        <v>50</v>
      </c>
      <c r="G50" s="62">
        <f>'&lt;BENENNUNG&gt;EINZELSERIEN'!$L$23</f>
        <v>50</v>
      </c>
      <c r="H50" s="62">
        <f>'&lt;BENENNUNG&gt;EINZELSERIEN'!$L$23</f>
        <v>50</v>
      </c>
      <c r="I50" s="62">
        <f>'&lt;BENENNUNG&gt;EINZELSERIEN'!$L$23</f>
        <v>50</v>
      </c>
      <c r="J50" s="62">
        <f>'&lt;BENENNUNG&gt;EINZELSERIEN'!$L$23</f>
        <v>50</v>
      </c>
      <c r="K50" s="62">
        <f>'&lt;BENENNUNG&gt;EINZELSERIEN'!$L$23</f>
        <v>50</v>
      </c>
      <c r="L50" s="62">
        <f>'&lt;BENENNUNG&gt;EINZELSERIEN'!$L$23</f>
        <v>50</v>
      </c>
      <c r="M50" s="62">
        <f>'&lt;BENENNUNG&gt;EINZELSERIEN'!$L$23</f>
        <v>50</v>
      </c>
      <c r="N50" s="62">
        <f>'&lt;BENENNUNG&gt;EINZELSERIEN'!$L$23</f>
        <v>50</v>
      </c>
      <c r="O50" s="62">
        <f>'&lt;BENENNUNG&gt;EINZELSERIEN'!$L$23</f>
        <v>50</v>
      </c>
      <c r="P50" s="62">
        <f>'&lt;BENENNUNG&gt;EINZELSERIEN'!$L$23</f>
        <v>50</v>
      </c>
      <c r="Q50" s="62">
        <f>'&lt;BENENNUNG&gt;EINZELSERIEN'!$L$23</f>
        <v>50</v>
      </c>
      <c r="R50" s="62">
        <f>'&lt;BENENNUNG&gt;EINZELSERIEN'!$L$23</f>
        <v>50</v>
      </c>
      <c r="S50" s="62">
        <f>'&lt;BENENNUNG&gt;EINZELSERIEN'!$L$23</f>
        <v>50</v>
      </c>
      <c r="T50" s="88"/>
      <c r="U50" s="88"/>
    </row>
    <row r="51" spans="1:21" x14ac:dyDescent="0.3">
      <c r="A51" s="62"/>
      <c r="B51" s="219"/>
      <c r="C51" s="219"/>
      <c r="D51" s="219"/>
      <c r="E51" s="219"/>
      <c r="F51" s="219"/>
      <c r="G51" s="219"/>
      <c r="H51" s="219"/>
      <c r="I51" s="219"/>
      <c r="J51" s="219"/>
      <c r="K51" s="62"/>
      <c r="L51" s="62"/>
      <c r="M51" s="62"/>
      <c r="N51" s="62"/>
      <c r="O51" s="62"/>
      <c r="P51" s="62"/>
      <c r="Q51" s="62"/>
      <c r="R51" s="62"/>
      <c r="S51" s="62"/>
      <c r="T51" s="88"/>
      <c r="U51" s="88"/>
    </row>
    <row r="52" spans="1:21" x14ac:dyDescent="0.3">
      <c r="A52" s="219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88"/>
      <c r="U52" s="88"/>
    </row>
    <row r="53" spans="1:21" x14ac:dyDescent="0.3">
      <c r="A53" s="219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88"/>
      <c r="U53" s="88"/>
    </row>
    <row r="54" spans="1:21" x14ac:dyDescent="0.3">
      <c r="A54" s="219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88"/>
      <c r="U54" s="88"/>
    </row>
    <row r="55" spans="1:21" x14ac:dyDescent="0.3">
      <c r="A55" s="219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88"/>
      <c r="U55" s="88"/>
    </row>
    <row r="56" spans="1:21" x14ac:dyDescent="0.3">
      <c r="A56" s="219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88"/>
      <c r="U56" s="88"/>
    </row>
    <row r="57" spans="1:21" x14ac:dyDescent="0.3">
      <c r="A57" s="219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88"/>
      <c r="U57" s="88"/>
    </row>
    <row r="58" spans="1:21" x14ac:dyDescent="0.3">
      <c r="A58" s="219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88"/>
      <c r="U58" s="88"/>
    </row>
    <row r="59" spans="1:21" x14ac:dyDescent="0.3">
      <c r="A59" s="219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88"/>
      <c r="U59" s="88"/>
    </row>
    <row r="60" spans="1:21" x14ac:dyDescent="0.3">
      <c r="A60" s="219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88"/>
      <c r="U60" s="88"/>
    </row>
    <row r="61" spans="1:21" x14ac:dyDescent="0.3">
      <c r="A61" s="88"/>
      <c r="B61" s="219"/>
      <c r="C61" s="219"/>
      <c r="D61" s="219"/>
      <c r="E61" s="219"/>
      <c r="F61" s="219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</row>
    <row r="62" spans="1:21" x14ac:dyDescent="0.3">
      <c r="A62" s="88"/>
      <c r="B62" s="219"/>
      <c r="C62" s="219"/>
      <c r="D62" s="219"/>
      <c r="E62" s="219"/>
      <c r="F62" s="219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</row>
    <row r="63" spans="1:21" x14ac:dyDescent="0.3">
      <c r="A63" s="88"/>
      <c r="B63" s="219"/>
      <c r="C63" s="219"/>
      <c r="D63" s="219"/>
      <c r="E63" s="219"/>
      <c r="F63" s="219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</row>
    <row r="64" spans="1:21" x14ac:dyDescent="0.3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</row>
    <row r="65" spans="1:21" x14ac:dyDescent="0.3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</row>
    <row r="66" spans="1:21" x14ac:dyDescent="0.3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</row>
    <row r="67" spans="1:21" x14ac:dyDescent="0.3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</row>
  </sheetData>
  <sheetProtection algorithmName="SHA-512" hashValue="MH4TpkXXkZzBKIKs5g3JneCWmezz6a5Tkx2VxT9z/8JTAaxv8zelBdN3GoLCkPz4ljeaeELpXGUL5W6c/z41tw==" saltValue="wi97s84ZUNyz2NmaoY15CA==" spinCount="100000" sheet="1" objects="1" scenarios="1" selectLockedCells="1"/>
  <mergeCells count="7">
    <mergeCell ref="B1:S1"/>
    <mergeCell ref="B2:G2"/>
    <mergeCell ref="H2:M2"/>
    <mergeCell ref="N2:S2"/>
    <mergeCell ref="D3:G3"/>
    <mergeCell ref="J3:M3"/>
    <mergeCell ref="P3:S3"/>
  </mergeCells>
  <dataValidations count="1">
    <dataValidation type="decimal" operator="notEqual" allowBlank="1" showInputMessage="1" showErrorMessage="1" sqref="B6:S8" xr:uid="{00000000-0002-0000-0000-000000000000}">
      <formula1>0</formula1>
    </dataValidation>
  </dataValidations>
  <hyperlinks>
    <hyperlink ref="D4" r:id="rId1" xr:uid="{00000000-0004-0000-0000-000000000000}"/>
    <hyperlink ref="J4" r:id="rId2" xr:uid="{00000000-0004-0000-0000-000001000000}"/>
    <hyperlink ref="P4" r:id="rId3" xr:uid="{00000000-0004-0000-0000-000002000000}"/>
  </hyperlinks>
  <pageMargins left="0.7" right="0.7" top="0.78740157499999996" bottom="0.78740157499999996" header="0.3" footer="0.3"/>
  <pageSetup paperSize="9" orientation="portrait" horizontalDpi="4294967293" verticalDpi="4294967293" r:id="rId4"/>
  <ignoredErrors>
    <ignoredError sqref="B36:C36 B38:B39 B42:B43 B45:B46 B48:B49 C38:C39 B4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AG265"/>
  <sheetViews>
    <sheetView workbookViewId="0">
      <selection activeCell="H36" sqref="H36"/>
    </sheetView>
  </sheetViews>
  <sheetFormatPr baseColWidth="10" defaultRowHeight="14.4" x14ac:dyDescent="0.3"/>
  <cols>
    <col min="1" max="1" width="3" style="2" customWidth="1"/>
    <col min="2" max="2" width="7.77734375" style="2" customWidth="1"/>
    <col min="3" max="3" width="9" style="2" customWidth="1"/>
    <col min="4" max="4" width="9.109375" style="2" customWidth="1"/>
    <col min="5" max="5" width="8.33203125" style="2" customWidth="1"/>
    <col min="6" max="6" width="11.44140625" style="2" customWidth="1"/>
    <col min="7" max="7" width="11.33203125" style="2" customWidth="1"/>
    <col min="8" max="8" width="18.109375" style="2" customWidth="1"/>
    <col min="9" max="9" width="9.88671875" style="2" customWidth="1"/>
    <col min="10" max="10" width="6" style="2" customWidth="1"/>
    <col min="11" max="11" width="27.44140625" style="2" customWidth="1"/>
    <col min="12" max="12" width="13.88671875" style="2" customWidth="1"/>
    <col min="13" max="14" width="11.5546875" style="2"/>
    <col min="15" max="15" width="11.5546875" style="2" customWidth="1"/>
    <col min="16" max="16384" width="11.5546875" style="2"/>
  </cols>
  <sheetData>
    <row r="1" spans="1:32" ht="18" x14ac:dyDescent="0.35">
      <c r="A1" s="17"/>
      <c r="B1" s="18" t="s">
        <v>135</v>
      </c>
      <c r="C1" s="18"/>
      <c r="D1" s="18"/>
      <c r="E1" s="19"/>
      <c r="F1" s="20"/>
      <c r="G1" s="257" t="s">
        <v>89</v>
      </c>
      <c r="H1" s="258"/>
      <c r="I1" s="258"/>
      <c r="J1" s="258"/>
      <c r="K1" s="258"/>
      <c r="L1" s="259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x14ac:dyDescent="0.3">
      <c r="A2" s="21"/>
      <c r="B2" s="22" t="s">
        <v>63</v>
      </c>
      <c r="C2" s="22"/>
      <c r="D2" s="262">
        <v>1234567</v>
      </c>
      <c r="E2" s="262"/>
      <c r="F2" s="263"/>
      <c r="G2" s="87"/>
      <c r="H2" s="88"/>
      <c r="I2" s="88"/>
      <c r="J2"/>
      <c r="K2"/>
      <c r="L2" s="89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2" x14ac:dyDescent="0.3">
      <c r="A3" s="23" t="s">
        <v>110</v>
      </c>
      <c r="B3" s="24" t="s">
        <v>27</v>
      </c>
      <c r="C3" s="25" t="s">
        <v>66</v>
      </c>
      <c r="D3" s="26"/>
      <c r="E3" s="27" t="s">
        <v>163</v>
      </c>
      <c r="F3" s="28"/>
      <c r="G3" s="90"/>
      <c r="H3" s="90"/>
      <c r="I3" s="90"/>
      <c r="J3" s="91"/>
      <c r="K3" s="91" t="s">
        <v>34</v>
      </c>
      <c r="L3" s="92" t="s">
        <v>119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2" x14ac:dyDescent="0.3">
      <c r="A4" s="29">
        <f>'&lt;KLEIN - STICHPROBEN&gt;'!$B$39</f>
        <v>5</v>
      </c>
      <c r="B4" s="23">
        <f>'&lt;KLEIN - STICHPROBEN&gt;'!$B$40</f>
        <v>50.093999989981199</v>
      </c>
      <c r="C4" s="30">
        <f>ROUND(('&lt;KLEIN - STICHPROBEN&gt;'!$B$38/(C30*K4))*100,1)</f>
        <v>10</v>
      </c>
      <c r="D4" s="31"/>
      <c r="E4" s="32">
        <f>ROUND((('&lt;KLEIN - STICHPROBEN&gt;'!$B$40-L23)/(C30*L4))*100,1)</f>
        <v>7.5</v>
      </c>
      <c r="F4" s="33"/>
      <c r="G4" s="88"/>
      <c r="H4"/>
      <c r="I4"/>
      <c r="J4" s="88"/>
      <c r="K4" s="88">
        <f t="shared" ref="K4:K21" si="0">((2.71828184^(1*(LN(97.7312)-0.505825*2.71828184^(-0.197201*(A4))))))*10^-2</f>
        <v>0.80924427026927515</v>
      </c>
      <c r="L4" s="93">
        <f t="shared" ref="L4:L21" si="1">((2.71828184^(1*(LN(10.3795)-1.470455*2.71828184^(-0.109081*(A4))))))^-1</f>
        <v>0.22592623844881043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2" x14ac:dyDescent="0.3">
      <c r="A5" s="34">
        <f>'&lt;KLEIN - STICHPROBEN&gt;'!$C$39</f>
        <v>13</v>
      </c>
      <c r="B5" s="34">
        <f>'&lt;KLEIN - STICHPROBEN&gt;'!$C$40</f>
        <v>50.086923073070245</v>
      </c>
      <c r="C5" s="35">
        <f>ROUND(('&lt;KLEIN - STICHPROBEN&gt;'!$C$38/(C30*K5))*100,1)</f>
        <v>15.1</v>
      </c>
      <c r="D5" s="36"/>
      <c r="E5" s="37">
        <f>ROUND((('&lt;KLEIN - STICHPROBEN&gt;'!$C$40-L23)/(C30*L5))*100,1)</f>
        <v>11.3</v>
      </c>
      <c r="F5" s="38"/>
      <c r="G5"/>
      <c r="H5"/>
      <c r="I5"/>
      <c r="J5" s="88"/>
      <c r="K5" s="88">
        <f t="shared" si="0"/>
        <v>0.93996657715278586</v>
      </c>
      <c r="L5" s="93">
        <f t="shared" si="1"/>
        <v>0.13755788930506302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2" x14ac:dyDescent="0.3">
      <c r="A6" s="34">
        <f>'&lt;KLEIN - STICHPROBEN&gt;'!$D$39</f>
        <v>0</v>
      </c>
      <c r="B6" s="34">
        <f>'&lt;KLEIN - STICHPROBEN&gt;'!$D$40</f>
        <v>1000000000</v>
      </c>
      <c r="C6" s="35">
        <f>ROUND(('&lt;KLEIN - STICHPROBEN&gt;'!$D$38/(C30*K6))*100,1)</f>
        <v>0</v>
      </c>
      <c r="D6" s="36"/>
      <c r="E6" s="37">
        <f>ROUND((('&lt;KLEIN - STICHPROBEN&gt;'!$D$40-L23)/(C30*L6))*100,1)</f>
        <v>42754164377.199997</v>
      </c>
      <c r="F6" s="38"/>
      <c r="G6"/>
      <c r="H6"/>
      <c r="I6"/>
      <c r="J6" s="88"/>
      <c r="K6" s="88">
        <f t="shared" si="0"/>
        <v>0.58932685587313727</v>
      </c>
      <c r="L6" s="93">
        <f t="shared" si="1"/>
        <v>0.41921233944406278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</row>
    <row r="7" spans="1:32" x14ac:dyDescent="0.3">
      <c r="A7" s="34">
        <f>'&lt;KLEIN - STICHPROBEN&gt;'!$E$39</f>
        <v>0</v>
      </c>
      <c r="B7" s="34">
        <f>'&lt;KLEIN - STICHPROBEN&gt;'!$E$40</f>
        <v>1000000000</v>
      </c>
      <c r="C7" s="35">
        <f>ROUND(('&lt;KLEIN - STICHPROBEN&gt;'!$E$38/(C30*K7))*100,1)</f>
        <v>0</v>
      </c>
      <c r="D7" s="36"/>
      <c r="E7" s="37">
        <f>ROUND((('&lt;KLEIN - STICHPROBEN&gt;'!$E$40-L23)/(C30*L7))*100,1)</f>
        <v>42754164377.199997</v>
      </c>
      <c r="F7" s="38"/>
      <c r="G7"/>
      <c r="H7"/>
      <c r="I7"/>
      <c r="J7" s="88"/>
      <c r="K7" s="88">
        <f t="shared" si="0"/>
        <v>0.58932685587313727</v>
      </c>
      <c r="L7" s="93">
        <f t="shared" si="1"/>
        <v>0.41921233944406278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2" x14ac:dyDescent="0.3">
      <c r="A8" s="34">
        <f>'&lt;KLEIN - STICHPROBEN&gt;'!$F$39</f>
        <v>0</v>
      </c>
      <c r="B8" s="34">
        <f>'&lt;KLEIN - STICHPROBEN&gt;'!$F$40</f>
        <v>1000000000</v>
      </c>
      <c r="C8" s="35">
        <f>ROUND(('&lt;KLEIN - STICHPROBEN&gt;'!$F$38/(C30*K8))*100,1)</f>
        <v>0</v>
      </c>
      <c r="D8" s="36"/>
      <c r="E8" s="37">
        <f>ROUND((('&lt;KLEIN - STICHPROBEN&gt;'!$F$40-L23)/(C30*L8))*100,1)</f>
        <v>42754164377.199997</v>
      </c>
      <c r="F8" s="38"/>
      <c r="G8"/>
      <c r="H8"/>
      <c r="I8"/>
      <c r="J8" s="88"/>
      <c r="K8" s="88">
        <f t="shared" si="0"/>
        <v>0.58932685587313727</v>
      </c>
      <c r="L8" s="93">
        <f t="shared" si="1"/>
        <v>0.41921233944406278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2" x14ac:dyDescent="0.3">
      <c r="A9" s="34">
        <f>'&lt;KLEIN - STICHPROBEN&gt;'!$G$39</f>
        <v>0</v>
      </c>
      <c r="B9" s="34">
        <f>'&lt;KLEIN - STICHPROBEN&gt;'!$G$40</f>
        <v>1000000000</v>
      </c>
      <c r="C9" s="35">
        <f>ROUND(('&lt;KLEIN - STICHPROBEN&gt;'!$G$38/(C30*K9))*100,1)</f>
        <v>0</v>
      </c>
      <c r="D9" s="36"/>
      <c r="E9" s="37">
        <f>ROUND((('&lt;KLEIN - STICHPROBEN&gt;'!$G$40-L23)/(C30*L9))*100,1)</f>
        <v>42754164377.199997</v>
      </c>
      <c r="F9" s="38"/>
      <c r="G9"/>
      <c r="H9"/>
      <c r="I9"/>
      <c r="J9" s="88"/>
      <c r="K9" s="88">
        <f t="shared" si="0"/>
        <v>0.58932685587313727</v>
      </c>
      <c r="L9" s="93">
        <f t="shared" si="1"/>
        <v>0.41921233944406278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2" x14ac:dyDescent="0.3">
      <c r="A10" s="34">
        <f>'&lt;KLEIN - STICHPROBEN&gt;'!$H$39</f>
        <v>0</v>
      </c>
      <c r="B10" s="39">
        <f>'&lt;KLEIN - STICHPROBEN&gt;'!$H$40</f>
        <v>1000000000</v>
      </c>
      <c r="C10" s="40">
        <f>ROUND(('&lt;KLEIN - STICHPROBEN&gt;'!$H$38/(C30*K10))*100,1)</f>
        <v>0</v>
      </c>
      <c r="D10" s="41"/>
      <c r="E10" s="42">
        <f>ROUND((('&lt;KLEIN - STICHPROBEN&gt;'!$H$40-L23)/(C30*L10))*100,1)</f>
        <v>42754164377.199997</v>
      </c>
      <c r="F10" s="43"/>
      <c r="G10"/>
      <c r="H10"/>
      <c r="I10"/>
      <c r="J10" s="88"/>
      <c r="K10" s="88">
        <f t="shared" si="0"/>
        <v>0.58932685587313727</v>
      </c>
      <c r="L10" s="93">
        <f t="shared" si="1"/>
        <v>0.41921233944406278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2" x14ac:dyDescent="0.3">
      <c r="A11" s="34">
        <f>'&lt;KLEIN - STICHPROBEN&gt;'!$I$39</f>
        <v>0</v>
      </c>
      <c r="B11" s="34">
        <f>'&lt;KLEIN - STICHPROBEN&gt;'!$I$40</f>
        <v>1000000000</v>
      </c>
      <c r="C11" s="35">
        <f>ROUND(('&lt;KLEIN - STICHPROBEN&gt;'!$I$38/(C30*K11))*100,1)</f>
        <v>0</v>
      </c>
      <c r="D11" s="36"/>
      <c r="E11" s="37">
        <f>ROUND((('&lt;KLEIN - STICHPROBEN&gt;'!$I$40-L23)/(C30*L11))*100,1)</f>
        <v>42754164377.199997</v>
      </c>
      <c r="F11" s="38"/>
      <c r="G11"/>
      <c r="H11"/>
      <c r="I11"/>
      <c r="J11" s="88"/>
      <c r="K11" s="88">
        <f t="shared" si="0"/>
        <v>0.58932685587313727</v>
      </c>
      <c r="L11" s="93">
        <f t="shared" si="1"/>
        <v>0.41921233944406278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2" x14ac:dyDescent="0.3">
      <c r="A12" s="34">
        <f>'&lt;KLEIN - STICHPROBEN&gt;'!$J$39</f>
        <v>0</v>
      </c>
      <c r="B12" s="34">
        <f>'&lt;KLEIN - STICHPROBEN&gt;'!$J$40</f>
        <v>1000000000</v>
      </c>
      <c r="C12" s="35">
        <f>ROUND(('&lt;KLEIN - STICHPROBEN&gt;'!$J$38/(C30*K12))*100,1)</f>
        <v>0</v>
      </c>
      <c r="D12" s="36"/>
      <c r="E12" s="37">
        <f>ROUND((('&lt;KLEIN - STICHPROBEN&gt;'!$J$40-L23)/(C30*L12))*100,1)</f>
        <v>42754164377.199997</v>
      </c>
      <c r="F12" s="38"/>
      <c r="G12"/>
      <c r="H12"/>
      <c r="I12"/>
      <c r="J12" s="88"/>
      <c r="K12" s="88">
        <f t="shared" si="0"/>
        <v>0.58932685587313727</v>
      </c>
      <c r="L12" s="93">
        <f t="shared" si="1"/>
        <v>0.41921233944406278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</row>
    <row r="13" spans="1:32" x14ac:dyDescent="0.3">
      <c r="A13" s="34">
        <f>'&lt;KLEIN - STICHPROBEN&gt;'!$K$39</f>
        <v>0</v>
      </c>
      <c r="B13" s="34">
        <f>'&lt;KLEIN - STICHPROBEN&gt;'!$K$40</f>
        <v>1000000000</v>
      </c>
      <c r="C13" s="35">
        <f>ROUND(('&lt;KLEIN - STICHPROBEN&gt;'!$K$38/(C30*K13))*100,1)</f>
        <v>0</v>
      </c>
      <c r="D13" s="36"/>
      <c r="E13" s="37">
        <f>ROUND((('&lt;KLEIN - STICHPROBEN&gt;'!$K$40-L23)/(C30*L13))*100,1)</f>
        <v>42754164377.199997</v>
      </c>
      <c r="F13" s="38"/>
      <c r="G13"/>
      <c r="H13"/>
      <c r="I13"/>
      <c r="J13" s="88"/>
      <c r="K13" s="88">
        <f t="shared" si="0"/>
        <v>0.58932685587313727</v>
      </c>
      <c r="L13" s="93">
        <f t="shared" si="1"/>
        <v>0.41921233944406278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2" ht="14.4" customHeight="1" x14ac:dyDescent="0.3">
      <c r="A14" s="34">
        <f>'&lt;KLEIN - STICHPROBEN&gt;'!$L$39</f>
        <v>0</v>
      </c>
      <c r="B14" s="34">
        <f>'&lt;KLEIN - STICHPROBEN&gt;'!$L$40</f>
        <v>1000000000</v>
      </c>
      <c r="C14" s="35">
        <f>ROUND(('&lt;KLEIN - STICHPROBEN&gt;'!$L$38/(C30*K14))*100,1)</f>
        <v>0</v>
      </c>
      <c r="D14" s="36"/>
      <c r="E14" s="37">
        <f>ROUND((('&lt;KLEIN - STICHPROBEN&gt;'!$L$40-L23)/(C30*L14))*100,1)</f>
        <v>42754164377.199997</v>
      </c>
      <c r="F14" s="38"/>
      <c r="G14"/>
      <c r="H14"/>
      <c r="I14"/>
      <c r="J14" s="88"/>
      <c r="K14" s="88">
        <f t="shared" si="0"/>
        <v>0.58932685587313727</v>
      </c>
      <c r="L14" s="93">
        <f t="shared" si="1"/>
        <v>0.41921233944406278</v>
      </c>
      <c r="M14"/>
      <c r="N14" s="220"/>
      <c r="O14" s="220"/>
      <c r="P14" s="220"/>
      <c r="Q14" s="220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2" ht="14.4" customHeight="1" x14ac:dyDescent="0.45">
      <c r="A15" s="34">
        <f>'&lt;KLEIN - STICHPROBEN&gt;'!$M$39</f>
        <v>0</v>
      </c>
      <c r="B15" s="34">
        <f>'&lt;KLEIN - STICHPROBEN&gt;'!$M$40</f>
        <v>1000000000</v>
      </c>
      <c r="C15" s="35">
        <f>ROUND(('&lt;KLEIN - STICHPROBEN&gt;'!$M$38/(C30*K15))*100,1)</f>
        <v>0</v>
      </c>
      <c r="D15" s="36"/>
      <c r="E15" s="37">
        <f>ROUND((('&lt;KLEIN - STICHPROBEN&gt;'!$M$40-L23)/(C30*L15))*100,1)</f>
        <v>42754164377.199997</v>
      </c>
      <c r="F15" s="38"/>
      <c r="G15"/>
      <c r="H15" s="94"/>
      <c r="I15" s="94"/>
      <c r="J15" s="88"/>
      <c r="K15" s="88">
        <f t="shared" si="0"/>
        <v>0.58932685587313727</v>
      </c>
      <c r="L15" s="93">
        <f t="shared" si="1"/>
        <v>0.41921233944406278</v>
      </c>
      <c r="M15"/>
      <c r="N15" s="220"/>
      <c r="O15" s="220"/>
      <c r="P15" s="220"/>
      <c r="Q15" s="220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2" x14ac:dyDescent="0.3">
      <c r="A16" s="34">
        <f>'&lt;KLEIN - STICHPROBEN&gt;'!$N$39</f>
        <v>0</v>
      </c>
      <c r="B16" s="44">
        <f>'&lt;KLEIN - STICHPROBEN&gt;'!$N$40</f>
        <v>1000000000</v>
      </c>
      <c r="C16" s="45">
        <f>ROUND(('&lt;KLEIN - STICHPROBEN&gt;'!$N$38/(C30*K16))*100,1)</f>
        <v>0</v>
      </c>
      <c r="D16" s="46"/>
      <c r="E16" s="47">
        <f>ROUND((('&lt;KLEIN - STICHPROBEN&gt;'!$N$40-L23)/(C30*L16))*100,1)</f>
        <v>42754164377.199997</v>
      </c>
      <c r="F16" s="48"/>
      <c r="G16"/>
      <c r="H16"/>
      <c r="I16"/>
      <c r="J16" s="88"/>
      <c r="K16" s="88">
        <f t="shared" si="0"/>
        <v>0.58932685587313727</v>
      </c>
      <c r="L16" s="93">
        <f t="shared" si="1"/>
        <v>0.41921233944406278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3" x14ac:dyDescent="0.3">
      <c r="A17" s="34">
        <f>'&lt;KLEIN - STICHPROBEN&gt;'!$O$39</f>
        <v>0</v>
      </c>
      <c r="B17" s="34">
        <f>'&lt;KLEIN - STICHPROBEN&gt;'!$O$40</f>
        <v>1000000000</v>
      </c>
      <c r="C17" s="35">
        <f>ROUND(('&lt;KLEIN - STICHPROBEN&gt;'!$O$38/(C30*K17))*100,1)</f>
        <v>0</v>
      </c>
      <c r="D17" s="36"/>
      <c r="E17" s="37">
        <f>ROUND((('&lt;KLEIN - STICHPROBEN&gt;'!$O$40-L23)/(C30*L17))*100,1)</f>
        <v>42754164377.199997</v>
      </c>
      <c r="F17" s="38"/>
      <c r="G17"/>
      <c r="H17"/>
      <c r="I17"/>
      <c r="J17" s="88"/>
      <c r="K17" s="88">
        <f t="shared" si="0"/>
        <v>0.58932685587313727</v>
      </c>
      <c r="L17" s="93">
        <f t="shared" si="1"/>
        <v>0.41921233944406278</v>
      </c>
      <c r="M17"/>
      <c r="N17" s="213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3" x14ac:dyDescent="0.3">
      <c r="A18" s="34">
        <f>'&lt;KLEIN - STICHPROBEN&gt;'!$P$39</f>
        <v>0</v>
      </c>
      <c r="B18" s="34">
        <f>'&lt;KLEIN - STICHPROBEN&gt;'!$P$40</f>
        <v>1000000000</v>
      </c>
      <c r="C18" s="35">
        <f>ROUND(('&lt;KLEIN - STICHPROBEN&gt;'!$P$38/(C30*K18))*100,1)</f>
        <v>0</v>
      </c>
      <c r="D18" s="36"/>
      <c r="E18" s="37">
        <f>ROUND((('&lt;KLEIN - STICHPROBEN&gt;'!$O$40-L23)/(C30*L18))*100,1)</f>
        <v>42754164377.199997</v>
      </c>
      <c r="F18" s="38"/>
      <c r="G18"/>
      <c r="H18"/>
      <c r="I18"/>
      <c r="J18" s="88"/>
      <c r="K18" s="88">
        <f t="shared" si="0"/>
        <v>0.58932685587313727</v>
      </c>
      <c r="L18" s="93">
        <f t="shared" si="1"/>
        <v>0.41921233944406278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3" x14ac:dyDescent="0.3">
      <c r="A19" s="34">
        <f>'&lt;KLEIN - STICHPROBEN&gt;'!$Q$39</f>
        <v>0</v>
      </c>
      <c r="B19" s="34">
        <f>'&lt;KLEIN - STICHPROBEN&gt;'!$Q$40</f>
        <v>1000000000</v>
      </c>
      <c r="C19" s="35">
        <f>ROUND(('&lt;KLEIN - STICHPROBEN&gt;'!$Q$38/(C30*K19))*100,1)</f>
        <v>0</v>
      </c>
      <c r="D19" s="36"/>
      <c r="E19" s="37">
        <f>ROUND((('&lt;KLEIN - STICHPROBEN&gt;'!$Q$40-L23)/(C30*L19))*100,1)</f>
        <v>42754164377.199997</v>
      </c>
      <c r="F19" s="38"/>
      <c r="G19"/>
      <c r="H19"/>
      <c r="I19"/>
      <c r="J19" s="88"/>
      <c r="K19" s="88">
        <f t="shared" si="0"/>
        <v>0.58932685587313727</v>
      </c>
      <c r="L19" s="93">
        <f t="shared" si="1"/>
        <v>0.41921233944406278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3" x14ac:dyDescent="0.3">
      <c r="A20" s="34">
        <f>'&lt;KLEIN - STICHPROBEN&gt;'!$R$39</f>
        <v>0</v>
      </c>
      <c r="B20" s="34">
        <f>'&lt;KLEIN - STICHPROBEN&gt;'!$R$40</f>
        <v>1000000000</v>
      </c>
      <c r="C20" s="35">
        <f>ROUND(('&lt;KLEIN - STICHPROBEN&gt;'!$R$38/(C30*K20))*100,1)</f>
        <v>0</v>
      </c>
      <c r="D20" s="36"/>
      <c r="E20" s="37">
        <f>ROUND((('&lt;KLEIN - STICHPROBEN&gt;'!$R$40-L23)/(C30*L20))*100,1)</f>
        <v>42754164377.199997</v>
      </c>
      <c r="F20" s="38"/>
      <c r="G20"/>
      <c r="H20"/>
      <c r="I20"/>
      <c r="J20" s="88"/>
      <c r="K20" s="88">
        <f t="shared" si="0"/>
        <v>0.58932685587313727</v>
      </c>
      <c r="L20" s="93">
        <f t="shared" si="1"/>
        <v>0.41921233944406278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3" x14ac:dyDescent="0.3">
      <c r="A21" s="34">
        <f>'&lt;KLEIN - STICHPROBEN&gt;'!$S$39</f>
        <v>0</v>
      </c>
      <c r="B21" s="34">
        <f>'&lt;KLEIN - STICHPROBEN&gt;'!$S$40</f>
        <v>1000000000</v>
      </c>
      <c r="C21" s="35">
        <f>ROUND(('&lt;KLEIN - STICHPROBEN&gt;'!$S$38/(C30*K21))*100,1)</f>
        <v>0</v>
      </c>
      <c r="D21" s="36"/>
      <c r="E21" s="37">
        <f>ROUND((('&lt;KLEIN - STICHPROBEN&gt;'!$S$40-L23)/(C30*L21))*100,1)</f>
        <v>42754164377.199997</v>
      </c>
      <c r="F21" s="38"/>
      <c r="G21"/>
      <c r="H21"/>
      <c r="I21"/>
      <c r="J21" s="88"/>
      <c r="K21" s="88">
        <f t="shared" si="0"/>
        <v>0.58932685587313727</v>
      </c>
      <c r="L21" s="93">
        <f t="shared" si="1"/>
        <v>0.41921233944406278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3" x14ac:dyDescent="0.3">
      <c r="A22" s="49"/>
      <c r="B22" s="50"/>
      <c r="C22" s="51">
        <v>0</v>
      </c>
      <c r="D22" s="51"/>
      <c r="E22" s="51"/>
      <c r="F22" s="51"/>
      <c r="G22" s="51">
        <f>'&lt;BENENNUNG&gt; SERIENSUMME'!$G$22</f>
        <v>53.77</v>
      </c>
      <c r="H22" s="51">
        <f>'&lt;BENENNUNG&gt; SERIENSUMME'!$H$22</f>
        <v>-53.77</v>
      </c>
      <c r="I22" s="51"/>
      <c r="J22" s="65"/>
      <c r="K22" s="78" t="s">
        <v>136</v>
      </c>
      <c r="L22" s="79"/>
      <c r="M22"/>
      <c r="N22" s="236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3" x14ac:dyDescent="0.3">
      <c r="A23" s="52"/>
      <c r="B23" s="53"/>
      <c r="C23" s="54">
        <v>200</v>
      </c>
      <c r="D23" s="54"/>
      <c r="E23" s="54"/>
      <c r="F23" s="54"/>
      <c r="G23" s="54">
        <f>'&lt;BENENNUNG&gt; SERIENSUMME'!$G$23</f>
        <v>53.77</v>
      </c>
      <c r="H23" s="54">
        <f>'&lt;BENENNUNG&gt; SERIENSUMME'!$H$23</f>
        <v>-53.77</v>
      </c>
      <c r="I23" s="54"/>
      <c r="J23" s="66"/>
      <c r="K23" s="80" t="s">
        <v>137</v>
      </c>
      <c r="L23" s="9">
        <v>50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x14ac:dyDescent="0.3">
      <c r="A24" s="55"/>
      <c r="B24" s="56"/>
      <c r="C24" s="54">
        <f>'&lt;BENENNUNG&gt; SERIENSUMME'!$C$24</f>
        <v>53.77</v>
      </c>
      <c r="D24" s="54"/>
      <c r="E24" s="54"/>
      <c r="F24" s="54"/>
      <c r="G24" s="54"/>
      <c r="H24" s="54"/>
      <c r="I24" s="54">
        <f>$J$26*-1</f>
        <v>500</v>
      </c>
      <c r="J24" s="67"/>
      <c r="K24" s="81" t="s">
        <v>184</v>
      </c>
      <c r="L24" s="237">
        <f>(L23-(L25-L23))</f>
        <v>48.5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x14ac:dyDescent="0.3">
      <c r="A25" s="52"/>
      <c r="B25" s="53"/>
      <c r="C25" s="54">
        <f>'&lt;BENENNUNG&gt; SERIENSUMME'!$C$25</f>
        <v>53.77</v>
      </c>
      <c r="D25" s="54"/>
      <c r="E25" s="54"/>
      <c r="F25" s="54"/>
      <c r="G25" s="54"/>
      <c r="H25" s="54"/>
      <c r="I25" s="54">
        <f>$J$27</f>
        <v>0</v>
      </c>
      <c r="J25" s="66"/>
      <c r="K25" s="81" t="s">
        <v>185</v>
      </c>
      <c r="L25" s="9">
        <v>51.5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x14ac:dyDescent="0.3">
      <c r="A26" s="52"/>
      <c r="B26" s="53"/>
      <c r="C26" s="54">
        <f>'&lt;BENENNUNG&gt; SERIENSUMME'!$C$26</f>
        <v>53.77</v>
      </c>
      <c r="D26" s="54"/>
      <c r="E26" s="57"/>
      <c r="F26" s="57"/>
      <c r="G26" s="57"/>
      <c r="H26" s="57"/>
      <c r="I26" s="68"/>
      <c r="J26" s="60">
        <f>'&lt;BENENNUNG&gt; SERIENSUMME'!$J$26</f>
        <v>-500</v>
      </c>
      <c r="K26" s="82" t="s">
        <v>183</v>
      </c>
      <c r="L26" s="9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x14ac:dyDescent="0.3">
      <c r="A27" s="52"/>
      <c r="B27" s="53"/>
      <c r="C27" s="54">
        <f>'&lt;BENENNUNG&gt; SERIENSUMME'!$C$27</f>
        <v>53.77</v>
      </c>
      <c r="D27" s="57"/>
      <c r="E27" s="57"/>
      <c r="F27" s="57"/>
      <c r="G27" s="57"/>
      <c r="H27" s="57"/>
      <c r="I27" s="57"/>
      <c r="J27" s="60">
        <f>'&lt;BENENNUNG&gt; SERIENSUMME'!$J$27</f>
        <v>0</v>
      </c>
      <c r="K27" s="83" t="s">
        <v>186</v>
      </c>
      <c r="L27" s="84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33" x14ac:dyDescent="0.3">
      <c r="A28" s="58"/>
      <c r="B28" s="54" t="s">
        <v>112</v>
      </c>
      <c r="C28" s="54">
        <f>'&lt;BENENNUNG&gt; SERIENSUMME'!$C$28</f>
        <v>3.7454494825870435</v>
      </c>
      <c r="D28" s="54" t="s">
        <v>113</v>
      </c>
      <c r="E28" s="54">
        <f>'&lt;BENENNUNG&gt; SERIENSUMME'!$E$28</f>
        <v>2.0250963834368476</v>
      </c>
      <c r="F28" s="54" t="s">
        <v>114</v>
      </c>
      <c r="G28" s="69">
        <f>'&lt;BENENNUNG&gt; SERIENSUMME'!$C$29</f>
        <v>3.5901640304330691</v>
      </c>
      <c r="H28" s="54" t="s">
        <v>115</v>
      </c>
      <c r="I28" s="54">
        <f>'&lt;BENENNUNG&gt; SERIENSUMME'!$E$29</f>
        <v>1.6761355273506955</v>
      </c>
      <c r="J28" s="70"/>
      <c r="K28" s="83" t="s">
        <v>218</v>
      </c>
      <c r="L28" s="85"/>
      <c r="M28" s="221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33" x14ac:dyDescent="0.3">
      <c r="A29" s="59" t="s">
        <v>86</v>
      </c>
      <c r="B29" s="54" t="s">
        <v>116</v>
      </c>
      <c r="C29" s="54">
        <f>'&lt;BENENNUNG&gt; SERIENSUMME'!$C$30</f>
        <v>3.5901640304330691</v>
      </c>
      <c r="D29" s="54" t="s">
        <v>117</v>
      </c>
      <c r="E29" s="60">
        <f>'&lt;BENENNUNG&gt; SERIENSUMME'!$E$30</f>
        <v>1.6761355273506955</v>
      </c>
      <c r="F29" s="61" t="s">
        <v>111</v>
      </c>
      <c r="G29" s="71"/>
      <c r="H29" s="72"/>
      <c r="I29" s="73"/>
      <c r="J29" s="74"/>
      <c r="K29" s="83" t="s">
        <v>219</v>
      </c>
      <c r="L29" s="85"/>
      <c r="M29" s="221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33" x14ac:dyDescent="0.3">
      <c r="A30" s="59"/>
      <c r="B30" s="54" t="s">
        <v>118</v>
      </c>
      <c r="C30" s="54">
        <f>'&lt;BENENNUNG&gt; SERIENSUMME'!$C$31</f>
        <v>5.5794000000000068</v>
      </c>
      <c r="D30" s="62"/>
      <c r="E30" s="62"/>
      <c r="F30" s="75" t="s">
        <v>87</v>
      </c>
      <c r="G30" s="245">
        <v>0.1</v>
      </c>
      <c r="H30" s="75" t="s">
        <v>221</v>
      </c>
      <c r="I30" s="73">
        <f>'AUSSCHUSS - GANGLINIE'!$G$238</f>
        <v>52.79</v>
      </c>
      <c r="J30" s="213"/>
      <c r="K30" s="83" t="s">
        <v>220</v>
      </c>
      <c r="L30" s="86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3" x14ac:dyDescent="0.3">
      <c r="A31" s="238"/>
      <c r="B31" s="239"/>
      <c r="C31" s="240"/>
      <c r="D31" s="241"/>
      <c r="E31" s="241"/>
      <c r="F31" s="243" t="s">
        <v>87</v>
      </c>
      <c r="G31" s="77">
        <f>$G$30</f>
        <v>0.1</v>
      </c>
      <c r="H31" s="243" t="s">
        <v>222</v>
      </c>
      <c r="I31" s="77">
        <f>'AUSSCHUSS - GANGLINIE'!$G$239</f>
        <v>47.21</v>
      </c>
      <c r="J31" s="240"/>
      <c r="K31" s="260" t="s">
        <v>178</v>
      </c>
      <c r="L31" s="26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x14ac:dyDescent="0.3">
      <c r="A32" s="242"/>
      <c r="B32" s="242"/>
      <c r="C32" s="242"/>
      <c r="D32" s="242"/>
      <c r="E32" s="242"/>
      <c r="F32" s="221"/>
      <c r="G32" s="222"/>
      <c r="H32" s="221"/>
      <c r="I32" s="222"/>
      <c r="J32" s="242"/>
      <c r="K32" s="90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x14ac:dyDescent="0.3">
      <c r="A33" s="213"/>
      <c r="B33" s="213"/>
      <c r="C33" s="213"/>
      <c r="D33" s="213"/>
      <c r="E33" s="213"/>
      <c r="F33" s="213"/>
      <c r="G33" s="222"/>
      <c r="H33" s="221"/>
      <c r="I33" s="222"/>
      <c r="J33" s="21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x14ac:dyDescent="0.3">
      <c r="A34" s="213"/>
      <c r="B34" s="213"/>
      <c r="C34" s="213"/>
      <c r="D34" s="213"/>
      <c r="E34" s="213"/>
      <c r="F34" s="221"/>
      <c r="G34" s="222"/>
      <c r="H34" s="221"/>
      <c r="I34" s="222"/>
      <c r="J34" s="213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x14ac:dyDescent="0.3">
      <c r="A35" s="213"/>
      <c r="B35" s="213"/>
      <c r="C35" s="213"/>
      <c r="D35" s="213"/>
      <c r="E35" s="213"/>
      <c r="F35" s="244"/>
      <c r="G35" s="222"/>
      <c r="H35" s="221"/>
      <c r="I35" s="222"/>
      <c r="J35" s="213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</row>
    <row r="36" spans="1:33" x14ac:dyDescent="0.3">
      <c r="A36" s="213"/>
      <c r="B36" s="213"/>
      <c r="C36" s="213"/>
      <c r="D36" s="213"/>
      <c r="E36" s="213"/>
      <c r="F36" s="213"/>
      <c r="G36" s="213"/>
      <c r="H36" s="213"/>
      <c r="I36" s="213"/>
      <c r="J36" s="213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33" x14ac:dyDescent="0.3">
      <c r="A37" s="213"/>
      <c r="B37" s="213"/>
      <c r="C37" s="213"/>
      <c r="D37" s="213"/>
      <c r="E37" s="213"/>
      <c r="F37" s="213"/>
      <c r="G37" s="213"/>
      <c r="H37" s="213"/>
      <c r="I37" s="213"/>
      <c r="J37" s="213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33" x14ac:dyDescent="0.3">
      <c r="A38" s="213"/>
      <c r="B38" s="213"/>
      <c r="C38" s="213"/>
      <c r="D38" s="213"/>
      <c r="E38" s="213"/>
      <c r="F38" s="213"/>
      <c r="G38" s="213"/>
      <c r="H38" s="213"/>
      <c r="I38" s="213"/>
      <c r="J38" s="213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33" x14ac:dyDescent="0.3">
      <c r="A39" s="213"/>
      <c r="B39" s="213"/>
      <c r="C39" s="213"/>
      <c r="D39" s="213"/>
      <c r="E39" s="213"/>
      <c r="F39" s="213"/>
      <c r="G39" s="213"/>
      <c r="H39" s="213"/>
      <c r="I39" s="213"/>
      <c r="J39" s="213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3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33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33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1:33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3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3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1:33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3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</row>
    <row r="48" spans="1:33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</row>
    <row r="49" spans="1:33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</row>
    <row r="50" spans="1:33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</row>
    <row r="51" spans="1:33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</row>
    <row r="52" spans="1:33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</row>
    <row r="53" spans="1:33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</row>
    <row r="54" spans="1:33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</row>
    <row r="55" spans="1:33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</row>
    <row r="56" spans="1:33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</row>
    <row r="57" spans="1:33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</row>
    <row r="58" spans="1:33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</row>
    <row r="59" spans="1:33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</row>
    <row r="60" spans="1:33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</row>
    <row r="61" spans="1:33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</row>
    <row r="62" spans="1:33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</row>
    <row r="63" spans="1:33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</row>
    <row r="64" spans="1:33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33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33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33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33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33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33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33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33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33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33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33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33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33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33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33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33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</row>
    <row r="81" spans="1:33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:33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:33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:33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:33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:33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:33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3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3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3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3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3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:33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:33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:33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:33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:33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:33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:33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:33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:33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:33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</row>
    <row r="103" spans="1:33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:33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:33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:33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:33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:33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:33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:33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:33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:33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</row>
    <row r="113" spans="1:33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</row>
    <row r="114" spans="1:33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</row>
    <row r="115" spans="1:33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</row>
    <row r="116" spans="1:33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</row>
    <row r="117" spans="1:33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</row>
    <row r="118" spans="1:33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</row>
    <row r="119" spans="1:33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</row>
    <row r="120" spans="1:33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</row>
    <row r="121" spans="1:33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</row>
    <row r="122" spans="1:33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</row>
    <row r="123" spans="1:33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</row>
    <row r="124" spans="1:33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</row>
    <row r="125" spans="1:33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</row>
    <row r="126" spans="1:33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</row>
    <row r="127" spans="1:33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</row>
    <row r="128" spans="1:33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</row>
    <row r="129" spans="1:33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</row>
    <row r="130" spans="1:33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</row>
    <row r="131" spans="1:33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</row>
    <row r="132" spans="1:33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</row>
    <row r="133" spans="1:33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</row>
    <row r="134" spans="1:33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</row>
    <row r="135" spans="1:33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</row>
    <row r="136" spans="1:33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</row>
    <row r="137" spans="1:33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</row>
    <row r="138" spans="1:33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</row>
    <row r="139" spans="1:33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</row>
    <row r="140" spans="1:33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</row>
    <row r="141" spans="1:33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</row>
    <row r="142" spans="1:33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</row>
    <row r="143" spans="1:33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</row>
    <row r="144" spans="1:33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</row>
    <row r="145" spans="1:33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</row>
    <row r="146" spans="1:33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</row>
    <row r="147" spans="1:33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</row>
    <row r="148" spans="1:33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</row>
    <row r="149" spans="1:33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</row>
    <row r="150" spans="1:33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</row>
    <row r="151" spans="1:33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</row>
    <row r="152" spans="1:33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</row>
    <row r="153" spans="1:33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</row>
    <row r="154" spans="1:33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</row>
    <row r="155" spans="1:33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</row>
    <row r="156" spans="1:33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</row>
    <row r="157" spans="1:33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</row>
    <row r="158" spans="1:33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</row>
    <row r="159" spans="1:33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</row>
    <row r="160" spans="1:33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</row>
    <row r="161" spans="1:33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</row>
    <row r="162" spans="1:33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</row>
    <row r="163" spans="1:33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</row>
    <row r="164" spans="1:33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</row>
    <row r="165" spans="1:33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</row>
    <row r="166" spans="1:33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</row>
    <row r="167" spans="1:33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</row>
    <row r="168" spans="1:33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</row>
    <row r="169" spans="1:33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</row>
    <row r="170" spans="1:33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</row>
    <row r="171" spans="1:33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</row>
    <row r="172" spans="1:33" x14ac:dyDescent="0.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</row>
    <row r="173" spans="1:33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</row>
    <row r="174" spans="1:33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</row>
    <row r="175" spans="1:33" x14ac:dyDescent="0.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</row>
    <row r="176" spans="1:33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</row>
    <row r="177" spans="1:33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</row>
    <row r="178" spans="1:33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</row>
    <row r="179" spans="1:33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</row>
    <row r="180" spans="1:33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</row>
    <row r="181" spans="1:33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</row>
    <row r="182" spans="1:33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</row>
    <row r="183" spans="1:33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</row>
    <row r="184" spans="1:33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</row>
    <row r="185" spans="1:33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</row>
    <row r="186" spans="1:33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</row>
    <row r="187" spans="1:33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</row>
    <row r="188" spans="1:33" x14ac:dyDescent="0.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</row>
    <row r="189" spans="1:33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</row>
    <row r="190" spans="1:33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</row>
    <row r="191" spans="1:33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</row>
    <row r="192" spans="1:33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</row>
    <row r="193" spans="1:33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</row>
    <row r="194" spans="1:33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</row>
    <row r="195" spans="1:33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</row>
    <row r="196" spans="1:33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</row>
    <row r="197" spans="1:33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</row>
    <row r="198" spans="1:33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</row>
    <row r="199" spans="1:33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</row>
    <row r="200" spans="1:33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</row>
    <row r="201" spans="1:33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</row>
    <row r="202" spans="1:33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</row>
    <row r="203" spans="1:33" x14ac:dyDescent="0.3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</row>
    <row r="204" spans="1:33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</row>
    <row r="205" spans="1:33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</row>
    <row r="206" spans="1:33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</row>
    <row r="207" spans="1:33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</row>
    <row r="208" spans="1:33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</row>
    <row r="209" spans="1:33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</row>
    <row r="210" spans="1:33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</row>
    <row r="211" spans="1:33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</row>
    <row r="212" spans="1:33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</row>
    <row r="213" spans="1:33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</row>
    <row r="214" spans="1:33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</row>
    <row r="215" spans="1:33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</row>
    <row r="216" spans="1:33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</row>
    <row r="217" spans="1:33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</row>
    <row r="218" spans="1:33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</row>
    <row r="219" spans="1:33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</row>
    <row r="220" spans="1:33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</row>
    <row r="221" spans="1:33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</row>
    <row r="222" spans="1:33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</row>
    <row r="223" spans="1:33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</row>
    <row r="224" spans="1:33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</row>
    <row r="225" spans="1:33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</row>
    <row r="226" spans="1:33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</row>
    <row r="227" spans="1:33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</row>
    <row r="228" spans="1:33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</row>
    <row r="229" spans="1:33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</row>
    <row r="230" spans="1:33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</row>
    <row r="231" spans="1:33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</row>
    <row r="232" spans="1:33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</row>
    <row r="233" spans="1:33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</row>
    <row r="234" spans="1:33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</row>
    <row r="235" spans="1:33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</row>
    <row r="236" spans="1:33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</row>
    <row r="237" spans="1:33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</row>
    <row r="238" spans="1:33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</row>
    <row r="239" spans="1:33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1:33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</row>
    <row r="241" spans="1:33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</row>
    <row r="242" spans="1:33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</row>
    <row r="243" spans="1:33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</row>
    <row r="244" spans="1:33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</row>
    <row r="245" spans="1:33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</row>
    <row r="246" spans="1:33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</row>
    <row r="247" spans="1:33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</row>
    <row r="248" spans="1:33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</row>
    <row r="249" spans="1:33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</row>
    <row r="250" spans="1:33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</row>
    <row r="251" spans="1:33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</row>
    <row r="252" spans="1:33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</row>
    <row r="253" spans="1:33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</row>
    <row r="254" spans="1:33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</row>
    <row r="255" spans="1:33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</row>
    <row r="256" spans="1:33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</row>
    <row r="257" spans="1:33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</row>
    <row r="258" spans="1:33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</row>
    <row r="259" spans="1:33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</row>
    <row r="260" spans="1:33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</row>
    <row r="261" spans="1:33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</row>
    <row r="262" spans="1:33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</row>
    <row r="263" spans="1:33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</row>
    <row r="264" spans="1:33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</row>
    <row r="265" spans="1:33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</row>
  </sheetData>
  <sheetProtection algorithmName="SHA-512" hashValue="PUsmsDzAzmq6ioZ59IcZ6EYteq+DSNtiTOQeUVYQMVDBnouA05St//rCIKYMZUuyEQBHfB1uxz5xnz/kX8Hg4g==" saltValue="HDN3Zsrzhg3A/xgM7KcQXA==" spinCount="100000" sheet="1" objects="1" scenarios="1"/>
  <mergeCells count="3">
    <mergeCell ref="G1:L1"/>
    <mergeCell ref="K31:L31"/>
    <mergeCell ref="D2:F2"/>
  </mergeCells>
  <dataValidations count="6">
    <dataValidation operator="greaterThan" allowBlank="1" showInputMessage="1" showErrorMessage="1" sqref="B14" xr:uid="{00000000-0002-0000-0100-000000000000}"/>
    <dataValidation operator="greaterThanOrEqual" allowBlank="1" showInputMessage="1" showErrorMessage="1" sqref="J8" xr:uid="{00000000-0002-0000-0100-000001000000}"/>
    <dataValidation type="decimal" operator="greaterThan" allowBlank="1" showInputMessage="1" showErrorMessage="1" sqref="L25" xr:uid="{00000000-0002-0000-0100-000002000000}">
      <formula1>(L23)</formula1>
    </dataValidation>
    <dataValidation type="decimal" allowBlank="1" showInputMessage="1" showErrorMessage="1" sqref="G30" xr:uid="{00000000-0002-0000-0100-000003000000}">
      <formula1>0.1</formula1>
      <formula2>10</formula2>
    </dataValidation>
    <dataValidation type="decimal" operator="lessThan" allowBlank="1" showInputMessage="1" showErrorMessage="1" sqref="L24" xr:uid="{00000000-0002-0000-0100-000004000000}">
      <formula1>(L23)</formula1>
    </dataValidation>
    <dataValidation type="decimal" allowBlank="1" showInputMessage="1" showErrorMessage="1" sqref="L26" xr:uid="{00000000-0002-0000-0100-000005000000}">
      <formula1>0.1</formula1>
      <formula2>5</formula2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O49"/>
  <sheetViews>
    <sheetView tabSelected="1" workbookViewId="0">
      <selection activeCell="M25" sqref="M25"/>
    </sheetView>
  </sheetViews>
  <sheetFormatPr baseColWidth="10" defaultRowHeight="14.4" x14ac:dyDescent="0.3"/>
  <cols>
    <col min="1" max="1" width="3.77734375" style="2" customWidth="1"/>
    <col min="2" max="2" width="8.109375" style="2" customWidth="1"/>
    <col min="3" max="3" width="9.44140625" style="2" customWidth="1"/>
    <col min="4" max="4" width="8.109375" style="2" customWidth="1"/>
    <col min="5" max="5" width="8.44140625" style="2" customWidth="1"/>
    <col min="6" max="6" width="7.77734375" style="2" customWidth="1"/>
    <col min="7" max="7" width="9.77734375" style="2" customWidth="1"/>
    <col min="8" max="8" width="6.109375" style="2" customWidth="1"/>
    <col min="9" max="9" width="7.44140625" style="2" customWidth="1"/>
    <col min="10" max="10" width="8.33203125" style="2" customWidth="1"/>
    <col min="11" max="11" width="31.109375" style="2" customWidth="1"/>
    <col min="12" max="12" width="10" style="2" customWidth="1"/>
    <col min="13" max="13" width="7.77734375" style="2" customWidth="1"/>
    <col min="14" max="16" width="11.5546875" style="2"/>
    <col min="17" max="17" width="23.33203125" style="2" customWidth="1"/>
    <col min="18" max="16384" width="11.5546875" style="2"/>
  </cols>
  <sheetData>
    <row r="1" spans="1:13" ht="18" x14ac:dyDescent="0.35">
      <c r="A1" s="1"/>
      <c r="B1" s="150" t="s">
        <v>67</v>
      </c>
      <c r="C1" s="151"/>
      <c r="D1" s="151"/>
      <c r="E1" s="151"/>
      <c r="F1" s="151"/>
      <c r="G1" s="264" t="s">
        <v>88</v>
      </c>
      <c r="H1" s="265"/>
      <c r="I1" s="265"/>
      <c r="J1" s="265"/>
      <c r="K1" s="265"/>
      <c r="L1" s="266"/>
      <c r="M1" s="145"/>
    </row>
    <row r="2" spans="1:13" x14ac:dyDescent="0.3">
      <c r="A2" s="3"/>
      <c r="B2" s="22" t="s">
        <v>63</v>
      </c>
      <c r="C2" s="22"/>
      <c r="D2" s="254">
        <f>'&lt;BENENNUNG&gt;EINZELSERIEN'!$D$2</f>
        <v>1234567</v>
      </c>
      <c r="E2" s="267"/>
      <c r="F2" s="268"/>
      <c r="G2" s="152"/>
      <c r="H2"/>
      <c r="I2"/>
      <c r="J2"/>
      <c r="K2"/>
      <c r="L2" s="89"/>
      <c r="M2" s="145"/>
    </row>
    <row r="3" spans="1:13" x14ac:dyDescent="0.3">
      <c r="A3" s="6" t="s">
        <v>110</v>
      </c>
      <c r="B3" s="153" t="s">
        <v>62</v>
      </c>
      <c r="C3" s="154" t="s">
        <v>68</v>
      </c>
      <c r="D3" s="155"/>
      <c r="E3" s="156" t="s">
        <v>164</v>
      </c>
      <c r="F3" s="157"/>
      <c r="G3" s="152"/>
      <c r="H3"/>
      <c r="I3"/>
      <c r="J3"/>
      <c r="K3" s="158" t="s">
        <v>34</v>
      </c>
      <c r="L3" s="159" t="s">
        <v>134</v>
      </c>
      <c r="M3" s="145"/>
    </row>
    <row r="4" spans="1:13" x14ac:dyDescent="0.3">
      <c r="A4" s="5">
        <f>'&lt;KLEIN - STICHPROBEN&gt;'!$B$46</f>
        <v>5</v>
      </c>
      <c r="B4" s="23">
        <f>'&lt;KLEIN - STICHPROBEN&gt;'!$B$44</f>
        <v>50.093999989981199</v>
      </c>
      <c r="C4" s="30">
        <f>ROUND(('&lt;KLEIN - STICHPROBEN&gt;'!$B$45/(C31*K4))*100,1)</f>
        <v>10</v>
      </c>
      <c r="D4" s="31"/>
      <c r="E4" s="32">
        <f>ROUND(('&lt;KLEIN - STICHPROBEN&gt;'!$B$47-L26)/(C31*L4)*100,1)</f>
        <v>7.5</v>
      </c>
      <c r="F4" s="160"/>
      <c r="G4" s="88"/>
      <c r="H4"/>
      <c r="I4"/>
      <c r="J4"/>
      <c r="K4">
        <f t="shared" ref="K4:K21" si="0">((2.71828184^(1*(LN(97.7312)-0.505825*2.71828184^(-0.197201*(A4))))))*10^-2</f>
        <v>0.80924427026927515</v>
      </c>
      <c r="L4" s="93">
        <f t="shared" ref="L4:L21" si="1">((2.71828184^(1*(LN(10.3795)-1.470455*2.71828184^(-0.109081*(A4))))))^-1</f>
        <v>0.22592623844881043</v>
      </c>
      <c r="M4" s="146"/>
    </row>
    <row r="5" spans="1:13" x14ac:dyDescent="0.3">
      <c r="A5" s="6">
        <f>'&lt;KLEIN - STICHPROBEN&gt;'!$C$46</f>
        <v>18</v>
      </c>
      <c r="B5" s="34">
        <f>'&lt;KLEIN - STICHPROBEN&gt;'!$C$44</f>
        <v>50.088888886106183</v>
      </c>
      <c r="C5" s="35">
        <f>ROUND(('&lt;KLEIN - STICHPROBEN&gt;'!$C$45/(C31*K5))*100,1)</f>
        <v>14.7</v>
      </c>
      <c r="D5" s="36"/>
      <c r="E5" s="37">
        <f>ROUND(('&lt;KLEIN - STICHPROBEN&gt;'!$C$47-L26)/(C31*L5)*100,1)</f>
        <v>13.5</v>
      </c>
      <c r="F5" s="161"/>
      <c r="G5"/>
      <c r="H5"/>
      <c r="I5"/>
      <c r="J5"/>
      <c r="K5">
        <f t="shared" si="0"/>
        <v>0.9632093419465908</v>
      </c>
      <c r="L5" s="93">
        <f t="shared" si="1"/>
        <v>0.11843135687668833</v>
      </c>
      <c r="M5" s="146"/>
    </row>
    <row r="6" spans="1:13" x14ac:dyDescent="0.3">
      <c r="A6" s="6">
        <f>'&lt;KLEIN - STICHPROBEN&gt;'!$D$46</f>
        <v>18</v>
      </c>
      <c r="B6" s="34">
        <f>'&lt;KLEIN - STICHPROBEN&gt;'!$D$44</f>
        <v>50.088888886106183</v>
      </c>
      <c r="C6" s="35">
        <f>ROUND(('&lt;KLEIN - STICHPROBEN&gt;'!$D$45/(C31*K6))*100,1)</f>
        <v>14.7</v>
      </c>
      <c r="D6" s="36"/>
      <c r="E6" s="37">
        <f>ROUND(('&lt;KLEIN - STICHPROBEN&gt;'!$D$47-L26)/(C31*L6)*100,1)</f>
        <v>151337228097.39999</v>
      </c>
      <c r="F6" s="161"/>
      <c r="G6"/>
      <c r="H6"/>
      <c r="I6"/>
      <c r="J6"/>
      <c r="K6">
        <f t="shared" si="0"/>
        <v>0.9632093419465908</v>
      </c>
      <c r="L6" s="93">
        <f t="shared" si="1"/>
        <v>0.11843135687668833</v>
      </c>
      <c r="M6" s="146"/>
    </row>
    <row r="7" spans="1:13" x14ac:dyDescent="0.3">
      <c r="A7" s="6">
        <f>'&lt;KLEIN - STICHPROBEN&gt;'!$E$46</f>
        <v>18</v>
      </c>
      <c r="B7" s="34">
        <f>'&lt;KLEIN - STICHPROBEN&gt;'!$E$44</f>
        <v>50.088888886106183</v>
      </c>
      <c r="C7" s="35">
        <f>ROUND(('&lt;KLEIN - STICHPROBEN&gt;'!$E$45/(C31*K7))*100,1)</f>
        <v>14.7</v>
      </c>
      <c r="D7" s="36"/>
      <c r="E7" s="37">
        <f>ROUND(('&lt;KLEIN - STICHPROBEN&gt;'!$E$47-L26)/(C31*L7)*100,1)</f>
        <v>151337228097.39999</v>
      </c>
      <c r="F7" s="161"/>
      <c r="G7"/>
      <c r="H7"/>
      <c r="I7"/>
      <c r="J7"/>
      <c r="K7">
        <f t="shared" si="0"/>
        <v>0.9632093419465908</v>
      </c>
      <c r="L7" s="93">
        <f t="shared" si="1"/>
        <v>0.11843135687668833</v>
      </c>
      <c r="M7" s="146"/>
    </row>
    <row r="8" spans="1:13" x14ac:dyDescent="0.3">
      <c r="A8" s="6">
        <f>'&lt;KLEIN - STICHPROBEN&gt;'!$F$46</f>
        <v>18</v>
      </c>
      <c r="B8" s="34">
        <f>'&lt;KLEIN - STICHPROBEN&gt;'!$F$44</f>
        <v>50.088888886106183</v>
      </c>
      <c r="C8" s="35">
        <f>ROUND(('&lt;KLEIN - STICHPROBEN&gt;'!$F$45/(C31*K8))*100,1)</f>
        <v>14.7</v>
      </c>
      <c r="D8" s="36"/>
      <c r="E8" s="37">
        <f>ROUND(('&lt;KLEIN - STICHPROBEN&gt;'!$F$47-L26)/(C31*L8)*100,1)</f>
        <v>151337228097.39999</v>
      </c>
      <c r="F8" s="161"/>
      <c r="G8" s="162"/>
      <c r="H8"/>
      <c r="I8"/>
      <c r="J8"/>
      <c r="K8">
        <f t="shared" si="0"/>
        <v>0.9632093419465908</v>
      </c>
      <c r="L8" s="93">
        <f t="shared" si="1"/>
        <v>0.11843135687668833</v>
      </c>
      <c r="M8" s="146"/>
    </row>
    <row r="9" spans="1:13" x14ac:dyDescent="0.3">
      <c r="A9" s="6">
        <f>'&lt;KLEIN - STICHPROBEN&gt;'!$G$46</f>
        <v>18</v>
      </c>
      <c r="B9" s="34">
        <f>'&lt;KLEIN - STICHPROBEN&gt;'!$G$44</f>
        <v>50.088888886106183</v>
      </c>
      <c r="C9" s="35">
        <f>ROUND(('&lt;KLEIN - STICHPROBEN&gt;'!$G$45/(C31*K9))*100,1)</f>
        <v>14.7</v>
      </c>
      <c r="D9" s="36"/>
      <c r="E9" s="37">
        <f>ROUND(('&lt;KLEIN - STICHPROBEN&gt;'!$G$47-L26)/(C31*L9)*100,1)</f>
        <v>151337228097.39999</v>
      </c>
      <c r="F9" s="161"/>
      <c r="G9"/>
      <c r="H9"/>
      <c r="I9"/>
      <c r="J9"/>
      <c r="K9">
        <f t="shared" si="0"/>
        <v>0.9632093419465908</v>
      </c>
      <c r="L9" s="93">
        <f t="shared" si="1"/>
        <v>0.11843135687668833</v>
      </c>
      <c r="M9" s="146"/>
    </row>
    <row r="10" spans="1:13" x14ac:dyDescent="0.3">
      <c r="A10" s="6">
        <f>'&lt;KLEIN - STICHPROBEN&gt;'!$H$46</f>
        <v>18</v>
      </c>
      <c r="B10" s="39">
        <f>'&lt;KLEIN - STICHPROBEN&gt;'!$H$44</f>
        <v>50.088888886106183</v>
      </c>
      <c r="C10" s="40">
        <f>ROUND(('&lt;KLEIN - STICHPROBEN&gt;'!$H$45/(C31*K10))*100,1)</f>
        <v>14.7</v>
      </c>
      <c r="D10" s="41"/>
      <c r="E10" s="42">
        <f>ROUND(('&lt;KLEIN - STICHPROBEN&gt;'!$H$47-L26)/(C31*L10)*100,1)</f>
        <v>151337228097.39999</v>
      </c>
      <c r="F10" s="163"/>
      <c r="G10"/>
      <c r="H10"/>
      <c r="I10"/>
      <c r="J10"/>
      <c r="K10">
        <f t="shared" si="0"/>
        <v>0.9632093419465908</v>
      </c>
      <c r="L10" s="93">
        <f t="shared" si="1"/>
        <v>0.11843135687668833</v>
      </c>
      <c r="M10" s="146"/>
    </row>
    <row r="11" spans="1:13" x14ac:dyDescent="0.3">
      <c r="A11" s="6">
        <f>'&lt;KLEIN - STICHPROBEN&gt;'!$I$46</f>
        <v>18</v>
      </c>
      <c r="B11" s="34">
        <f>'&lt;KLEIN - STICHPROBEN&gt;'!$H$44</f>
        <v>50.088888886106183</v>
      </c>
      <c r="C11" s="35">
        <f>ROUND(('&lt;KLEIN - STICHPROBEN&gt;'!$I$45/(C31*K11))*100,1)</f>
        <v>14.7</v>
      </c>
      <c r="D11" s="36"/>
      <c r="E11" s="37">
        <f>ROUND(('&lt;KLEIN - STICHPROBEN&gt;'!$I$47-L26)/(C31*L11)*100,1)</f>
        <v>151337228097.39999</v>
      </c>
      <c r="F11" s="161"/>
      <c r="G11"/>
      <c r="H11"/>
      <c r="I11"/>
      <c r="J11"/>
      <c r="K11">
        <f t="shared" si="0"/>
        <v>0.9632093419465908</v>
      </c>
      <c r="L11" s="93">
        <f t="shared" si="1"/>
        <v>0.11843135687668833</v>
      </c>
      <c r="M11" s="146"/>
    </row>
    <row r="12" spans="1:13" x14ac:dyDescent="0.3">
      <c r="A12" s="6">
        <f>'&lt;KLEIN - STICHPROBEN&gt;'!$J$46</f>
        <v>18</v>
      </c>
      <c r="B12" s="34">
        <f>'&lt;KLEIN - STICHPROBEN&gt;'!$J$44</f>
        <v>50.088888886106183</v>
      </c>
      <c r="C12" s="35">
        <f>ROUND(('&lt;KLEIN - STICHPROBEN&gt;'!$J45/(C31*K12))*100,1)</f>
        <v>14.7</v>
      </c>
      <c r="D12" s="36"/>
      <c r="E12" s="37">
        <f>ROUND(('&lt;KLEIN - STICHPROBEN&gt;'!$J$47-L26)/(C31*L12)*100,1)</f>
        <v>151337228097.39999</v>
      </c>
      <c r="F12" s="161"/>
      <c r="G12"/>
      <c r="H12"/>
      <c r="I12"/>
      <c r="J12"/>
      <c r="K12">
        <f t="shared" si="0"/>
        <v>0.9632093419465908</v>
      </c>
      <c r="L12" s="93">
        <f t="shared" si="1"/>
        <v>0.11843135687668833</v>
      </c>
      <c r="M12" s="146"/>
    </row>
    <row r="13" spans="1:13" x14ac:dyDescent="0.3">
      <c r="A13" s="6">
        <f>'&lt;KLEIN - STICHPROBEN&gt;'!$K$46</f>
        <v>18</v>
      </c>
      <c r="B13" s="34">
        <f>'&lt;KLEIN - STICHPROBEN&gt;'!$K$44</f>
        <v>50.088888886106183</v>
      </c>
      <c r="C13" s="35">
        <f>ROUND(('&lt;KLEIN - STICHPROBEN&gt;'!$K$45/(C31*K13))*100,1)</f>
        <v>14.7</v>
      </c>
      <c r="D13" s="36"/>
      <c r="E13" s="37">
        <f>ROUND(('&lt;KLEIN - STICHPROBEN&gt;'!$K$47-L26)/(C31*L13)*100,1)</f>
        <v>151337228097.39999</v>
      </c>
      <c r="F13" s="161"/>
      <c r="G13"/>
      <c r="H13"/>
      <c r="I13"/>
      <c r="J13"/>
      <c r="K13">
        <f t="shared" si="0"/>
        <v>0.9632093419465908</v>
      </c>
      <c r="L13" s="93">
        <f t="shared" si="1"/>
        <v>0.11843135687668833</v>
      </c>
      <c r="M13" s="146"/>
    </row>
    <row r="14" spans="1:13" ht="14.4" customHeight="1" x14ac:dyDescent="0.3">
      <c r="A14" s="6">
        <f>'&lt;KLEIN - STICHPROBEN&gt;'!$L$46</f>
        <v>18</v>
      </c>
      <c r="B14" s="34">
        <f>'&lt;KLEIN - STICHPROBEN&gt;'!$L$44</f>
        <v>50.088888886106183</v>
      </c>
      <c r="C14" s="35">
        <f>ROUND(('&lt;KLEIN - STICHPROBEN&gt;'!$L$45/(C31*K14))*100,1)</f>
        <v>14.7</v>
      </c>
      <c r="D14" s="36"/>
      <c r="E14" s="37">
        <f>ROUND(('&lt;KLEIN - STICHPROBEN&gt;'!$L$47-L26)/(C31*L14)*100,1)</f>
        <v>151337228097.39999</v>
      </c>
      <c r="F14" s="161"/>
      <c r="G14"/>
      <c r="H14"/>
      <c r="I14"/>
      <c r="J14"/>
      <c r="K14">
        <f t="shared" si="0"/>
        <v>0.9632093419465908</v>
      </c>
      <c r="L14" s="93">
        <f t="shared" si="1"/>
        <v>0.11843135687668833</v>
      </c>
      <c r="M14" s="146"/>
    </row>
    <row r="15" spans="1:13" ht="14.4" customHeight="1" x14ac:dyDescent="0.45">
      <c r="A15" s="6">
        <f>'&lt;KLEIN - STICHPROBEN&gt;'!$M$46</f>
        <v>18</v>
      </c>
      <c r="B15" s="34">
        <f>'&lt;KLEIN - STICHPROBEN&gt;'!$M$44</f>
        <v>50.088888886106183</v>
      </c>
      <c r="C15" s="35">
        <f>ROUND(('&lt;KLEIN - STICHPROBEN&gt;'!$M$45/(C31*K15))*100,1)</f>
        <v>14.7</v>
      </c>
      <c r="D15" s="36"/>
      <c r="E15" s="37">
        <f>ROUND(('&lt;KLEIN - STICHPROBEN&gt;'!$M$47-L26)/(C31*L15)*100,1)</f>
        <v>151337228097.39999</v>
      </c>
      <c r="F15" s="161"/>
      <c r="G15"/>
      <c r="H15" s="94"/>
      <c r="I15" s="94"/>
      <c r="J15"/>
      <c r="K15">
        <f t="shared" si="0"/>
        <v>0.9632093419465908</v>
      </c>
      <c r="L15" s="93">
        <f t="shared" si="1"/>
        <v>0.11843135687668833</v>
      </c>
      <c r="M15" s="146"/>
    </row>
    <row r="16" spans="1:13" ht="14.4" customHeight="1" x14ac:dyDescent="0.3">
      <c r="A16" s="6">
        <f>'&lt;KLEIN - STICHPROBEN&gt;'!$N$46</f>
        <v>18</v>
      </c>
      <c r="B16" s="164">
        <f>'&lt;KLEIN - STICHPROBEN&gt;'!$N$44</f>
        <v>50.088888886106183</v>
      </c>
      <c r="C16" s="165">
        <f>ROUND(('&lt;KLEIN - STICHPROBEN&gt;'!$N$45/(C31*K16))*100,1)</f>
        <v>14.7</v>
      </c>
      <c r="D16" s="166"/>
      <c r="E16" s="167">
        <f>ROUND(('&lt;KLEIN - STICHPROBEN&gt;'!$N$47-L26)/(C31*L16)*100,1)</f>
        <v>151337228097.39999</v>
      </c>
      <c r="F16" s="168"/>
      <c r="G16"/>
      <c r="H16"/>
      <c r="I16"/>
      <c r="J16"/>
      <c r="K16">
        <f t="shared" si="0"/>
        <v>0.9632093419465908</v>
      </c>
      <c r="L16" s="93">
        <f t="shared" si="1"/>
        <v>0.11843135687668833</v>
      </c>
      <c r="M16" s="146"/>
    </row>
    <row r="17" spans="1:15" x14ac:dyDescent="0.3">
      <c r="A17" s="6">
        <f>'&lt;KLEIN - STICHPROBEN&gt;'!$O$46</f>
        <v>18</v>
      </c>
      <c r="B17" s="34">
        <f>'&lt;KLEIN - STICHPROBEN&gt;'!$O$44</f>
        <v>50.088888886106183</v>
      </c>
      <c r="C17" s="35">
        <f>ROUND(('&lt;KLEIN - STICHPROBEN&gt;'!$O$45/(C31*K17))*100,1)</f>
        <v>14.7</v>
      </c>
      <c r="D17" s="36"/>
      <c r="E17" s="37">
        <f>ROUND(('&lt;KLEIN - STICHPROBEN&gt;'!$L$47-L26)/(C31*L17)*100,1)</f>
        <v>151337228097.39999</v>
      </c>
      <c r="F17" s="161"/>
      <c r="G17"/>
      <c r="H17"/>
      <c r="I17"/>
      <c r="J17"/>
      <c r="K17">
        <f t="shared" si="0"/>
        <v>0.9632093419465908</v>
      </c>
      <c r="L17" s="93">
        <f t="shared" si="1"/>
        <v>0.11843135687668833</v>
      </c>
      <c r="M17" s="146"/>
    </row>
    <row r="18" spans="1:15" x14ac:dyDescent="0.3">
      <c r="A18" s="6">
        <f>'&lt;KLEIN - STICHPROBEN&gt;'!$P$46</f>
        <v>18</v>
      </c>
      <c r="B18" s="34">
        <f>'&lt;KLEIN - STICHPROBEN&gt;'!$P$44</f>
        <v>50.088888886106183</v>
      </c>
      <c r="C18" s="35">
        <f>ROUND(('&lt;KLEIN - STICHPROBEN&gt;'!$P$45/(C31*K18))*100,1)</f>
        <v>14.7</v>
      </c>
      <c r="D18" s="36"/>
      <c r="E18" s="37">
        <f>ROUND(('&lt;KLEIN - STICHPROBEN&gt;'!$P$47-L26)/(C31*L18)*100,1)</f>
        <v>151337228097.39999</v>
      </c>
      <c r="F18" s="161"/>
      <c r="G18"/>
      <c r="H18"/>
      <c r="I18"/>
      <c r="J18"/>
      <c r="K18">
        <f t="shared" si="0"/>
        <v>0.9632093419465908</v>
      </c>
      <c r="L18" s="93">
        <f t="shared" si="1"/>
        <v>0.11843135687668833</v>
      </c>
      <c r="M18" s="146"/>
    </row>
    <row r="19" spans="1:15" x14ac:dyDescent="0.3">
      <c r="A19" s="6">
        <f>'&lt;KLEIN - STICHPROBEN&gt;'!$Q$46</f>
        <v>18</v>
      </c>
      <c r="B19" s="34">
        <f>'&lt;KLEIN - STICHPROBEN&gt;'!$Q$44</f>
        <v>50.088888886106183</v>
      </c>
      <c r="C19" s="35">
        <f>ROUND(('&lt;KLEIN - STICHPROBEN&gt;'!$Q$45/(C31*K19))*100,1)</f>
        <v>14.7</v>
      </c>
      <c r="D19" s="36"/>
      <c r="E19" s="37">
        <f>ROUND(('&lt;KLEIN - STICHPROBEN&gt;'!$Q$47-L26)/(C31*L19)*100,1)</f>
        <v>151337228097.39999</v>
      </c>
      <c r="F19" s="161"/>
      <c r="G19"/>
      <c r="H19"/>
      <c r="I19"/>
      <c r="J19"/>
      <c r="K19">
        <f t="shared" si="0"/>
        <v>0.9632093419465908</v>
      </c>
      <c r="L19" s="93">
        <f t="shared" si="1"/>
        <v>0.11843135687668833</v>
      </c>
      <c r="M19" s="146"/>
    </row>
    <row r="20" spans="1:15" x14ac:dyDescent="0.3">
      <c r="A20" s="6">
        <f>'&lt;KLEIN - STICHPROBEN&gt;'!$R$46</f>
        <v>18</v>
      </c>
      <c r="B20" s="34">
        <f>'&lt;KLEIN - STICHPROBEN&gt;'!$R$44</f>
        <v>50.088888886106183</v>
      </c>
      <c r="C20" s="35">
        <f>ROUND(('&lt;KLEIN - STICHPROBEN&gt;'!$R$45/(C31*K20))*100,1)</f>
        <v>14.7</v>
      </c>
      <c r="D20" s="36"/>
      <c r="E20" s="37">
        <f>ROUND(('&lt;KLEIN - STICHPROBEN&gt;'!$R$47-L26)/(C31*L20)*100,1)</f>
        <v>151337228097.39999</v>
      </c>
      <c r="F20" s="161"/>
      <c r="G20"/>
      <c r="H20"/>
      <c r="I20"/>
      <c r="J20"/>
      <c r="K20">
        <f t="shared" si="0"/>
        <v>0.9632093419465908</v>
      </c>
      <c r="L20" s="93">
        <f t="shared" si="1"/>
        <v>0.11843135687668833</v>
      </c>
      <c r="M20" s="146"/>
    </row>
    <row r="21" spans="1:15" x14ac:dyDescent="0.3">
      <c r="A21" s="6">
        <f>'&lt;KLEIN - STICHPROBEN&gt;'!$S$46</f>
        <v>18</v>
      </c>
      <c r="B21" s="34">
        <f>'&lt;KLEIN - STICHPROBEN&gt;'!$S$44</f>
        <v>50.088888886106183</v>
      </c>
      <c r="C21" s="35">
        <f>ROUND(('&lt;KLEIN - STICHPROBEN&gt;'!$S$45/(C31*K21))*100,1)</f>
        <v>14.7</v>
      </c>
      <c r="D21" s="36"/>
      <c r="E21" s="37">
        <f>ROUND(('&lt;KLEIN - STICHPROBEN&gt;'!$S$47-L26)/(C31*L21)*100,1)</f>
        <v>151337228097.39999</v>
      </c>
      <c r="F21" s="161"/>
      <c r="G21"/>
      <c r="H21"/>
      <c r="I21"/>
      <c r="J21"/>
      <c r="K21">
        <f t="shared" si="0"/>
        <v>0.9632093419465908</v>
      </c>
      <c r="L21" s="93">
        <f t="shared" si="1"/>
        <v>0.11843135687668833</v>
      </c>
      <c r="M21" s="146"/>
    </row>
    <row r="22" spans="1:15" x14ac:dyDescent="0.3">
      <c r="A22" s="7"/>
      <c r="B22" s="50"/>
      <c r="C22" s="51">
        <f>'&lt;BENENNUNG&gt;EINZELSERIEN'!C22</f>
        <v>0</v>
      </c>
      <c r="D22" s="51"/>
      <c r="E22" s="169"/>
      <c r="F22" s="169"/>
      <c r="G22" s="51">
        <f>'AUSSCHUSS - GANGLINIE'!$G$228</f>
        <v>53.77</v>
      </c>
      <c r="H22" s="51">
        <f>'AUSSCHUSS - GANGLINIE'!$G$229*-1</f>
        <v>-53.77</v>
      </c>
      <c r="I22" s="51"/>
      <c r="J22" s="170"/>
      <c r="K22" s="90"/>
      <c r="L22" s="92"/>
      <c r="M22" s="4"/>
    </row>
    <row r="23" spans="1:15" x14ac:dyDescent="0.3">
      <c r="A23" s="8"/>
      <c r="B23" s="53"/>
      <c r="C23" s="54">
        <f>'&lt;BENENNUNG&gt;EINZELSERIEN'!C23</f>
        <v>200</v>
      </c>
      <c r="D23" s="54"/>
      <c r="E23" s="171"/>
      <c r="F23" s="172"/>
      <c r="G23" s="54">
        <f>'AUSSCHUSS - GANGLINIE'!$G$228</f>
        <v>53.77</v>
      </c>
      <c r="H23" s="54">
        <f>'AUSSCHUSS - GANGLINIE'!$G$229*-1</f>
        <v>-53.77</v>
      </c>
      <c r="I23" s="54"/>
      <c r="J23" s="173"/>
      <c r="K23"/>
      <c r="L23" s="93"/>
      <c r="M23" s="4"/>
    </row>
    <row r="24" spans="1:15" x14ac:dyDescent="0.3">
      <c r="A24" s="8"/>
      <c r="B24" s="53"/>
      <c r="C24" s="54">
        <f>$G$22</f>
        <v>53.77</v>
      </c>
      <c r="D24" s="54"/>
      <c r="E24" s="171"/>
      <c r="F24" s="173"/>
      <c r="G24" s="174"/>
      <c r="H24" s="173"/>
      <c r="I24" s="54">
        <f>'&lt;BENENNUNG&gt;EINZELSERIEN'!I24</f>
        <v>500</v>
      </c>
      <c r="J24" s="171"/>
      <c r="K24" s="76"/>
      <c r="L24" s="175"/>
    </row>
    <row r="25" spans="1:15" x14ac:dyDescent="0.3">
      <c r="A25" s="8"/>
      <c r="B25" s="53"/>
      <c r="C25" s="54">
        <f>$G$23</f>
        <v>53.77</v>
      </c>
      <c r="D25" s="54"/>
      <c r="E25" s="171"/>
      <c r="F25" s="171"/>
      <c r="G25" s="174"/>
      <c r="H25" s="174"/>
      <c r="I25" s="54">
        <f>'&lt;BENENNUNG&gt;EINZELSERIEN'!I25</f>
        <v>0</v>
      </c>
      <c r="J25" s="173"/>
      <c r="K25" s="176" t="s">
        <v>162</v>
      </c>
      <c r="L25" s="177"/>
      <c r="M25" s="145"/>
    </row>
    <row r="26" spans="1:15" x14ac:dyDescent="0.3">
      <c r="A26" s="8"/>
      <c r="B26" s="53"/>
      <c r="C26" s="54">
        <f>$H$22*-1</f>
        <v>53.77</v>
      </c>
      <c r="D26" s="56"/>
      <c r="E26" s="56"/>
      <c r="F26" s="56"/>
      <c r="G26" s="56"/>
      <c r="H26" s="56"/>
      <c r="I26" s="56"/>
      <c r="J26" s="54">
        <v>-500</v>
      </c>
      <c r="K26" s="178" t="s">
        <v>137</v>
      </c>
      <c r="L26" s="179">
        <f>'&lt;BENENNUNG&gt;EINZELSERIEN'!$L$23</f>
        <v>50</v>
      </c>
      <c r="M26" s="145"/>
    </row>
    <row r="27" spans="1:15" x14ac:dyDescent="0.3">
      <c r="A27" s="8"/>
      <c r="B27" s="53"/>
      <c r="C27" s="54">
        <f>$H$23*-1</f>
        <v>53.77</v>
      </c>
      <c r="D27" s="56"/>
      <c r="E27" s="56"/>
      <c r="F27" s="56"/>
      <c r="G27" s="56"/>
      <c r="H27" s="56"/>
      <c r="I27" s="56"/>
      <c r="J27" s="54">
        <v>0</v>
      </c>
      <c r="K27" s="178" t="s">
        <v>138</v>
      </c>
      <c r="L27" s="179">
        <f>'&lt;BENENNUNG&gt;EINZELSERIEN'!$L$24</f>
        <v>48.5</v>
      </c>
      <c r="M27" s="145"/>
    </row>
    <row r="28" spans="1:15" x14ac:dyDescent="0.3">
      <c r="A28" s="10"/>
      <c r="B28" s="180" t="s">
        <v>29</v>
      </c>
      <c r="C28" s="180">
        <f>((2.71828184^(1*(LN(31.5646)-2.44958*2.71828184^(-0.680752*LN(L28)))))/100)^-1</f>
        <v>3.7454494825870435</v>
      </c>
      <c r="D28" s="180" t="s">
        <v>85</v>
      </c>
      <c r="E28" s="180">
        <f>((2.71828184^(1*(LN(49.9544)-3.359375*2.71828183^(-1.439056*LN(L28)))))/100)^-1</f>
        <v>2.0250963834368476</v>
      </c>
      <c r="F28" s="171"/>
      <c r="G28" s="171"/>
      <c r="H28" s="171"/>
      <c r="I28" s="171"/>
      <c r="J28" s="173"/>
      <c r="K28" s="178" t="s">
        <v>139</v>
      </c>
      <c r="L28" s="179">
        <f>'&lt;BENENNUNG&gt;EINZELSERIEN'!$L$25</f>
        <v>51.5</v>
      </c>
      <c r="M28" s="145"/>
    </row>
    <row r="29" spans="1:15" x14ac:dyDescent="0.3">
      <c r="A29" s="12"/>
      <c r="B29" s="172" t="s">
        <v>30</v>
      </c>
      <c r="C29" s="180">
        <f>((2.71828184^(1*(LN(31.7563)-1.871184*2.71828184^(-0.674405*LN(L28)))))/100)^-1</f>
        <v>3.5901640304330691</v>
      </c>
      <c r="D29" s="180" t="s">
        <v>32</v>
      </c>
      <c r="E29" s="180">
        <f>((2.71828184^(1*(LN(60.4535)-1.950162*2.71828184^(-1.267465*LN(L28)))))/100)^-1</f>
        <v>1.6761355273506955</v>
      </c>
      <c r="F29" s="173"/>
      <c r="G29" s="173"/>
      <c r="H29" s="174"/>
      <c r="I29" s="174"/>
      <c r="J29" s="171"/>
      <c r="K29" s="178" t="s">
        <v>140</v>
      </c>
      <c r="L29" s="179">
        <f>'&lt;BENENNUNG&gt;EINZELSERIEN'!$L$26</f>
        <v>5</v>
      </c>
      <c r="M29" s="145"/>
    </row>
    <row r="30" spans="1:15" x14ac:dyDescent="0.3">
      <c r="A30" s="12"/>
      <c r="B30" s="172" t="s">
        <v>31</v>
      </c>
      <c r="C30" s="180">
        <f>IF(L29=95,C28,C29)</f>
        <v>3.5901640304330691</v>
      </c>
      <c r="D30" s="180" t="s">
        <v>33</v>
      </c>
      <c r="E30" s="180">
        <f>IF(L29=95,E28,E29)</f>
        <v>1.6761355273506955</v>
      </c>
      <c r="F30" s="181"/>
      <c r="G30" s="174"/>
      <c r="H30" s="181"/>
      <c r="I30" s="174"/>
      <c r="J30" s="173"/>
      <c r="K30" s="182" t="s">
        <v>181</v>
      </c>
      <c r="L30" s="179">
        <f>'&lt;BENENNUNG&gt;EINZELSERIEN'!$L$26</f>
        <v>5</v>
      </c>
      <c r="M30" s="145"/>
    </row>
    <row r="31" spans="1:15" x14ac:dyDescent="0.3">
      <c r="A31" s="14"/>
      <c r="B31" s="183" t="s">
        <v>35</v>
      </c>
      <c r="C31" s="183">
        <f>'AUSSCHUSS - GANGLINIE'!$G$210</f>
        <v>5.5794000000000068</v>
      </c>
      <c r="D31" s="64"/>
      <c r="E31" s="64"/>
      <c r="F31" s="63"/>
      <c r="G31" s="184"/>
      <c r="H31" s="185"/>
      <c r="I31" s="186"/>
      <c r="J31" s="187"/>
      <c r="K31" s="188" t="s">
        <v>182</v>
      </c>
      <c r="L31" s="189">
        <f>'&lt;BENENNUNG&gt;EINZELSERIEN'!$L$26</f>
        <v>5</v>
      </c>
      <c r="M31" s="145"/>
      <c r="O31" s="149"/>
    </row>
    <row r="32" spans="1:15" x14ac:dyDescent="0.3">
      <c r="F32" s="11"/>
      <c r="G32" s="15"/>
      <c r="H32" s="11"/>
      <c r="I32" s="15"/>
      <c r="N32" s="149"/>
      <c r="O32" s="149"/>
    </row>
    <row r="33" spans="3:15" x14ac:dyDescent="0.3">
      <c r="N33" s="149"/>
      <c r="O33" s="149"/>
    </row>
    <row r="34" spans="3:15" x14ac:dyDescent="0.3">
      <c r="C34" s="16"/>
    </row>
    <row r="49" spans="5:7" x14ac:dyDescent="0.3">
      <c r="E49" s="129"/>
      <c r="F49" s="129"/>
      <c r="G49" s="129"/>
    </row>
  </sheetData>
  <sheetProtection algorithmName="SHA-512" hashValue="k/qTvrmowJu8/PUQ2axZjxMxaMqUhp7lGAxYF+udERA6ldH/5uCJd5iNXsfVUw/N360pi4r/0J/lQUlEffjpkw==" saltValue="eq3YSwk+mJbT2JuxIzMHQw==" spinCount="100000" sheet="1" objects="1" scenarios="1" selectLockedCells="1"/>
  <mergeCells count="2">
    <mergeCell ref="G1:L1"/>
    <mergeCell ref="D2:F2"/>
  </mergeCells>
  <dataValidations count="5">
    <dataValidation type="decimal" allowBlank="1" showInputMessage="1" showErrorMessage="1" sqref="G30:G31" xr:uid="{00000000-0002-0000-0200-000000000000}">
      <formula1>0.1</formula1>
      <formula2>10</formula2>
    </dataValidation>
    <dataValidation type="whole" operator="greaterThanOrEqual" allowBlank="1" showInputMessage="1" showErrorMessage="1" sqref="L28" xr:uid="{00000000-0002-0000-0200-000001000000}">
      <formula1>10</formula1>
    </dataValidation>
    <dataValidation operator="greaterThanOrEqual" allowBlank="1" showInputMessage="1" showErrorMessage="1" sqref="J8" xr:uid="{00000000-0002-0000-0200-000002000000}"/>
    <dataValidation operator="greaterThan" allowBlank="1" showInputMessage="1" showErrorMessage="1" sqref="B14" xr:uid="{00000000-0002-0000-0200-000003000000}"/>
    <dataValidation type="decimal" allowBlank="1" showInputMessage="1" showErrorMessage="1" sqref="L30 L31" xr:uid="{00000000-0002-0000-0200-000004000000}">
      <formula1>0.1</formula1>
      <formula2>5</formula2>
    </dataValidation>
  </dataValidations>
  <pageMargins left="0.7" right="0.7" top="0.78740157499999996" bottom="0.78740157499999996" header="0.3" footer="0.3"/>
  <pageSetup paperSize="9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2:M253"/>
  <sheetViews>
    <sheetView topLeftCell="A151" workbookViewId="0">
      <selection activeCell="E205" sqref="E205"/>
    </sheetView>
  </sheetViews>
  <sheetFormatPr baseColWidth="10" defaultRowHeight="14.4" x14ac:dyDescent="0.3"/>
  <cols>
    <col min="1" max="1" width="16.109375" style="2" customWidth="1"/>
    <col min="2" max="2" width="13.21875" style="2" customWidth="1"/>
    <col min="3" max="3" width="15.6640625" style="2" customWidth="1"/>
    <col min="4" max="4" width="12.109375" style="2" customWidth="1"/>
    <col min="5" max="5" width="18.44140625" style="2" customWidth="1"/>
    <col min="6" max="6" width="15.88671875" style="2" customWidth="1"/>
    <col min="7" max="7" width="13.44140625" style="2" customWidth="1"/>
    <col min="8" max="8" width="16.33203125" style="2" customWidth="1"/>
    <col min="9" max="9" width="12.77734375" style="2" customWidth="1"/>
    <col min="10" max="10" width="16.6640625" style="2" customWidth="1"/>
    <col min="11" max="11" width="15.5546875" style="2" customWidth="1"/>
    <col min="12" max="12" width="16.6640625" style="2" customWidth="1"/>
    <col min="13" max="13" width="15.88671875" style="2" customWidth="1"/>
    <col min="14" max="16384" width="11.5546875" style="2"/>
  </cols>
  <sheetData>
    <row r="2" spans="1:13" ht="15.6" x14ac:dyDescent="0.3">
      <c r="A2" s="190" t="s">
        <v>36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1"/>
      <c r="M2" s="148"/>
    </row>
    <row r="3" spans="1:13" ht="15.6" x14ac:dyDescent="0.3">
      <c r="A3" s="192" t="s">
        <v>200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1"/>
      <c r="M3" s="148"/>
    </row>
    <row r="4" spans="1:13" ht="15.6" x14ac:dyDescent="0.3">
      <c r="A4" s="190" t="s">
        <v>201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1"/>
      <c r="M4" s="148"/>
    </row>
    <row r="5" spans="1:13" ht="15.6" x14ac:dyDescent="0.3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48"/>
      <c r="M5" s="148"/>
    </row>
    <row r="6" spans="1:13" ht="28.8" x14ac:dyDescent="0.55000000000000004">
      <c r="A6" s="194" t="s">
        <v>83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  <row r="7" spans="1:13" x14ac:dyDescent="0.3">
      <c r="A7" s="191" t="s">
        <v>37</v>
      </c>
      <c r="B7" s="148"/>
      <c r="C7" s="148"/>
      <c r="D7" s="148"/>
      <c r="E7" s="148"/>
      <c r="F7" s="148"/>
      <c r="G7" s="130" t="s">
        <v>64</v>
      </c>
      <c r="H7" s="130" t="s">
        <v>65</v>
      </c>
      <c r="I7" s="148"/>
      <c r="J7" s="148"/>
      <c r="K7" s="148"/>
      <c r="L7" s="148"/>
      <c r="M7" s="148"/>
    </row>
    <row r="8" spans="1:13" x14ac:dyDescent="0.3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</row>
    <row r="9" spans="1:13" x14ac:dyDescent="0.3">
      <c r="A9" s="148"/>
      <c r="B9" s="148"/>
      <c r="C9" s="148"/>
      <c r="D9" s="148" t="s">
        <v>38</v>
      </c>
      <c r="E9" s="148"/>
      <c r="F9" s="148"/>
      <c r="G9" s="13">
        <f>'&lt;BENENNUNG&gt;EINZELSERIEN'!$L$23</f>
        <v>50</v>
      </c>
      <c r="H9" s="13">
        <f>'&lt;BENENNUNG&gt;EINZELSERIEN'!$L$23</f>
        <v>50</v>
      </c>
      <c r="I9" s="148"/>
      <c r="J9" s="148"/>
      <c r="K9" s="148"/>
      <c r="L9" s="148"/>
      <c r="M9" s="148"/>
    </row>
    <row r="10" spans="1:13" x14ac:dyDescent="0.3">
      <c r="A10" s="148"/>
      <c r="B10" s="148"/>
      <c r="C10" s="148"/>
      <c r="D10" s="148"/>
      <c r="E10" s="148"/>
      <c r="F10" s="148"/>
      <c r="G10" s="13"/>
      <c r="H10" s="13"/>
      <c r="I10" s="148"/>
      <c r="J10" s="148"/>
      <c r="K10" s="148"/>
      <c r="L10" s="148"/>
      <c r="M10" s="148"/>
    </row>
    <row r="11" spans="1:13" x14ac:dyDescent="0.3">
      <c r="A11" s="148"/>
      <c r="B11" s="148"/>
      <c r="C11" s="148"/>
      <c r="D11" s="148" t="s">
        <v>39</v>
      </c>
      <c r="E11" s="148"/>
      <c r="F11" s="148"/>
      <c r="G11" s="13">
        <f>'&lt;BENENNUNG&gt;EINZELSERIEN'!$L$24</f>
        <v>48.5</v>
      </c>
      <c r="H11" s="13">
        <f>'&lt;BENENNUNG&gt;EINZELSERIEN'!$L$24</f>
        <v>48.5</v>
      </c>
      <c r="I11" s="148"/>
      <c r="J11" s="148"/>
      <c r="K11" s="148"/>
      <c r="L11" s="148"/>
      <c r="M11" s="148"/>
    </row>
    <row r="12" spans="1:13" x14ac:dyDescent="0.3">
      <c r="A12" s="148"/>
      <c r="B12" s="148"/>
      <c r="C12" s="148"/>
      <c r="D12" s="148"/>
      <c r="E12" s="148"/>
      <c r="F12" s="148"/>
      <c r="G12" s="13"/>
      <c r="H12" s="13"/>
      <c r="I12" s="148"/>
      <c r="J12" s="148"/>
      <c r="K12" s="148"/>
      <c r="L12" s="148"/>
      <c r="M12" s="148"/>
    </row>
    <row r="13" spans="1:13" x14ac:dyDescent="0.3">
      <c r="A13" s="148"/>
      <c r="B13" s="148"/>
      <c r="C13" s="148"/>
      <c r="D13" s="148" t="s">
        <v>40</v>
      </c>
      <c r="E13" s="148"/>
      <c r="F13" s="148"/>
      <c r="G13" s="13">
        <f>'&lt;BENENNUNG&gt;EINZELSERIEN'!$L$25</f>
        <v>51.5</v>
      </c>
      <c r="H13" s="13">
        <f>'&lt;BENENNUNG&gt;EINZELSERIEN'!$L$25</f>
        <v>51.5</v>
      </c>
      <c r="I13" s="148"/>
      <c r="J13" s="148"/>
      <c r="K13" s="148"/>
      <c r="L13" s="148"/>
      <c r="M13" s="148"/>
    </row>
    <row r="14" spans="1:13" x14ac:dyDescent="0.3">
      <c r="A14" s="148"/>
      <c r="B14" s="148"/>
      <c r="C14" s="148"/>
      <c r="D14" s="148"/>
      <c r="E14" s="148"/>
      <c r="F14" s="148"/>
      <c r="G14" s="13"/>
      <c r="H14" s="13"/>
      <c r="I14" s="148"/>
      <c r="J14" s="148"/>
      <c r="K14" s="148"/>
      <c r="L14" s="148"/>
      <c r="M14" s="148"/>
    </row>
    <row r="15" spans="1:13" ht="18" x14ac:dyDescent="0.35">
      <c r="A15" s="148"/>
      <c r="B15" s="148"/>
      <c r="C15" s="148"/>
      <c r="D15" s="195" t="s">
        <v>69</v>
      </c>
      <c r="E15" s="148"/>
      <c r="F15" s="196">
        <f>'&lt;BENENNUNG&gt;EINZELSERIEN'!$L$27</f>
        <v>0</v>
      </c>
      <c r="G15" s="13"/>
      <c r="H15" s="13"/>
      <c r="I15" s="148"/>
      <c r="J15" s="148"/>
      <c r="K15" s="148"/>
      <c r="L15" s="148"/>
      <c r="M15" s="148"/>
    </row>
    <row r="16" spans="1:13" x14ac:dyDescent="0.3">
      <c r="A16" s="148"/>
      <c r="B16" s="148"/>
      <c r="C16" s="148"/>
      <c r="D16" s="191"/>
      <c r="E16" s="148"/>
      <c r="F16" s="148"/>
      <c r="G16" s="13"/>
      <c r="H16" s="13"/>
      <c r="I16" s="148"/>
      <c r="J16" s="148"/>
      <c r="K16" s="148"/>
      <c r="L16" s="148"/>
      <c r="M16" s="148"/>
    </row>
    <row r="17" spans="1:13" x14ac:dyDescent="0.3">
      <c r="A17" s="148"/>
      <c r="B17" s="148"/>
      <c r="C17" s="148"/>
      <c r="D17" s="148"/>
      <c r="E17" s="148"/>
      <c r="F17" s="148"/>
      <c r="G17" s="13"/>
      <c r="H17" s="13"/>
      <c r="I17" s="148"/>
      <c r="J17" s="148"/>
      <c r="K17" s="148"/>
      <c r="L17" s="148"/>
      <c r="M17" s="148"/>
    </row>
    <row r="18" spans="1:13" x14ac:dyDescent="0.3">
      <c r="A18" s="148"/>
      <c r="B18" s="148"/>
      <c r="C18" s="148"/>
      <c r="D18" s="148" t="s">
        <v>41</v>
      </c>
      <c r="E18" s="148"/>
      <c r="F18" s="148"/>
      <c r="G18" s="13">
        <f>'&lt;BENENNUNG&gt;EINZELSERIEN'!$G$30</f>
        <v>0.1</v>
      </c>
      <c r="H18" s="13">
        <f>'&lt;BENENNUNG&gt;EINZELSERIEN'!$G$30</f>
        <v>0.1</v>
      </c>
      <c r="I18" s="148"/>
      <c r="J18" s="148"/>
      <c r="K18" s="148"/>
      <c r="L18" s="148"/>
      <c r="M18" s="148"/>
    </row>
    <row r="19" spans="1:13" ht="18" x14ac:dyDescent="0.35">
      <c r="A19" s="148"/>
      <c r="B19" s="148"/>
      <c r="C19" s="148"/>
      <c r="D19" s="195"/>
      <c r="E19" s="195"/>
      <c r="F19" s="197"/>
      <c r="G19" s="196"/>
      <c r="H19" s="196"/>
      <c r="I19" s="195"/>
      <c r="J19" s="148"/>
      <c r="K19" s="148"/>
      <c r="L19" s="148"/>
      <c r="M19" s="148"/>
    </row>
    <row r="20" spans="1:13" x14ac:dyDescent="0.3">
      <c r="A20" s="148"/>
      <c r="B20" s="148"/>
      <c r="C20" s="148"/>
      <c r="D20" s="148" t="s">
        <v>42</v>
      </c>
      <c r="E20" s="148"/>
      <c r="F20" s="148"/>
      <c r="G20" s="13">
        <f>'&lt;BENENNUNG&gt;EINZELSERIEN'!$G$30</f>
        <v>0.1</v>
      </c>
      <c r="H20" s="13">
        <f>'&lt;BENENNUNG&gt;EINZELSERIEN'!$G$30</f>
        <v>0.1</v>
      </c>
      <c r="I20" s="148"/>
      <c r="J20" s="148"/>
      <c r="K20" s="148"/>
      <c r="L20" s="148"/>
      <c r="M20" s="148"/>
    </row>
    <row r="21" spans="1:13" x14ac:dyDescent="0.3">
      <c r="A21" s="148"/>
      <c r="B21" s="148"/>
      <c r="C21" s="148"/>
      <c r="D21" s="13"/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 x14ac:dyDescent="0.3">
      <c r="A22" s="148"/>
      <c r="B22" s="148"/>
      <c r="C22" s="148"/>
      <c r="D22" s="13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 x14ac:dyDescent="0.3">
      <c r="A23" s="148"/>
      <c r="B23" s="148"/>
      <c r="C23" s="148"/>
      <c r="D23" s="148"/>
      <c r="E23" s="191"/>
      <c r="F23" s="148"/>
      <c r="G23" s="148"/>
      <c r="H23" s="148"/>
      <c r="I23" s="148"/>
      <c r="J23" s="147"/>
      <c r="K23" s="148"/>
      <c r="L23" s="148"/>
      <c r="M23" s="148"/>
    </row>
    <row r="24" spans="1:13" x14ac:dyDescent="0.3">
      <c r="A24" s="148"/>
      <c r="B24" s="148"/>
      <c r="C24" s="148"/>
      <c r="D24" s="148"/>
      <c r="E24" s="148"/>
      <c r="F24" s="148"/>
      <c r="G24" s="148"/>
      <c r="H24" s="148"/>
      <c r="I24" s="148"/>
      <c r="J24" s="147"/>
      <c r="K24" s="148"/>
      <c r="L24" s="148"/>
      <c r="M24" s="148"/>
    </row>
    <row r="25" spans="1:13" x14ac:dyDescent="0.3">
      <c r="A25" s="148"/>
      <c r="B25" s="148"/>
      <c r="C25" s="148"/>
      <c r="D25" s="148"/>
      <c r="E25" s="191"/>
      <c r="F25" s="148"/>
      <c r="G25" s="148"/>
      <c r="H25" s="148"/>
      <c r="I25" s="148"/>
      <c r="J25" s="147"/>
      <c r="K25" s="148"/>
      <c r="L25" s="148"/>
      <c r="M25" s="148"/>
    </row>
    <row r="26" spans="1:13" x14ac:dyDescent="0.3">
      <c r="A26" s="148"/>
      <c r="B26" s="148"/>
      <c r="C26" s="148"/>
      <c r="D26" s="148"/>
      <c r="E26" s="148"/>
      <c r="F26" s="148"/>
      <c r="G26" s="148"/>
      <c r="H26" s="148"/>
      <c r="I26" s="148"/>
      <c r="J26" s="147"/>
      <c r="K26" s="148"/>
      <c r="L26" s="148"/>
      <c r="M26" s="148"/>
    </row>
    <row r="27" spans="1:13" x14ac:dyDescent="0.3">
      <c r="A27" s="148"/>
      <c r="B27" s="148"/>
      <c r="C27" s="148"/>
      <c r="D27" s="148"/>
      <c r="E27" s="148"/>
      <c r="F27" s="148"/>
      <c r="G27" s="148"/>
      <c r="H27" s="148"/>
      <c r="I27" s="148"/>
      <c r="J27" s="147"/>
      <c r="K27" s="148"/>
      <c r="L27" s="148"/>
      <c r="M27" s="148"/>
    </row>
    <row r="28" spans="1:13" x14ac:dyDescent="0.3">
      <c r="A28" s="148"/>
      <c r="B28" s="148"/>
      <c r="C28" s="148"/>
      <c r="D28" s="148"/>
      <c r="E28" s="148"/>
      <c r="F28" s="148"/>
      <c r="G28" s="148"/>
      <c r="H28" s="148"/>
      <c r="I28" s="130" t="s">
        <v>74</v>
      </c>
      <c r="J28" s="147"/>
      <c r="K28" s="148"/>
      <c r="L28" s="148"/>
      <c r="M28" s="148"/>
    </row>
    <row r="29" spans="1:13" x14ac:dyDescent="0.3">
      <c r="A29" s="191" t="s">
        <v>43</v>
      </c>
      <c r="B29" s="148"/>
      <c r="C29" s="148"/>
      <c r="D29" s="148"/>
      <c r="E29" s="148"/>
      <c r="F29" s="198"/>
      <c r="G29" s="198" t="s">
        <v>44</v>
      </c>
      <c r="H29" s="198" t="s">
        <v>45</v>
      </c>
      <c r="I29" s="198" t="s">
        <v>75</v>
      </c>
      <c r="J29" s="147"/>
      <c r="K29" s="148"/>
      <c r="L29" s="148"/>
      <c r="M29" s="148"/>
    </row>
    <row r="30" spans="1:13" x14ac:dyDescent="0.3">
      <c r="A30" s="148"/>
      <c r="B30" s="148"/>
      <c r="C30" s="148"/>
      <c r="D30" s="148"/>
      <c r="E30" s="148"/>
      <c r="F30" s="148"/>
      <c r="G30" s="148"/>
      <c r="H30" s="148"/>
      <c r="I30" s="148"/>
      <c r="J30" s="147"/>
      <c r="K30" s="148"/>
      <c r="L30" s="148"/>
      <c r="M30" s="148"/>
    </row>
    <row r="31" spans="1:13" x14ac:dyDescent="0.3">
      <c r="A31" s="148" t="s">
        <v>46</v>
      </c>
      <c r="B31" s="148"/>
      <c r="C31" s="148" t="s">
        <v>77</v>
      </c>
      <c r="D31" s="148"/>
      <c r="E31" s="148"/>
      <c r="F31" s="198"/>
      <c r="G31" s="198">
        <f>ROUND((G9-G11*(2.71828183^(LN(G57)-(G53)*2.71828183^(G55*LN(100/(1*G18)))))),3)</f>
        <v>-124.913</v>
      </c>
      <c r="H31" s="198">
        <f>ROUND((G9-G11*(2.71828183^(LN(H57)-(H53)*2.71828183^(H55*LN(100/G18))))),3)</f>
        <v>-132.827</v>
      </c>
      <c r="I31" s="198">
        <f>IF(F15=90,G31,H31)</f>
        <v>-132.827</v>
      </c>
      <c r="J31" s="147"/>
      <c r="K31" s="148"/>
      <c r="L31" s="148"/>
      <c r="M31" s="148"/>
    </row>
    <row r="32" spans="1:13" x14ac:dyDescent="0.3">
      <c r="A32" s="148"/>
      <c r="B32" s="148"/>
      <c r="C32" s="148"/>
      <c r="D32" s="148"/>
      <c r="E32" s="148"/>
      <c r="F32" s="198" t="s">
        <v>76</v>
      </c>
      <c r="G32" s="198">
        <f>ROUND((G9-G11*(2.71828183^(LN(G57)-(G53)*2.71828183^(G55*LN(100/(1*0.1)))))),3)</f>
        <v>-124.913</v>
      </c>
      <c r="H32" s="198">
        <f>ROUND((G8-G11*(2.71828183^(LN(H57)-(H53)*2.71828183^(H55*LN(100/0.1))))),3)</f>
        <v>-182.827</v>
      </c>
      <c r="I32" s="198">
        <f>IF(F15=90,G32,H32)</f>
        <v>-182.827</v>
      </c>
      <c r="J32" s="147"/>
      <c r="K32" s="148"/>
      <c r="L32" s="148"/>
      <c r="M32" s="148"/>
    </row>
    <row r="33" spans="1:13" x14ac:dyDescent="0.3">
      <c r="A33" s="148" t="s">
        <v>47</v>
      </c>
      <c r="B33" s="148"/>
      <c r="C33" s="148" t="s">
        <v>77</v>
      </c>
      <c r="D33" s="148"/>
      <c r="E33" s="148"/>
      <c r="F33" s="198"/>
      <c r="G33" s="198">
        <f>ROUND((G9+G11*(2.71828183^(LN(G57)-(G53)*2.71828183^(G55*LN(100/G18))))),3)</f>
        <v>224.91300000000001</v>
      </c>
      <c r="H33" s="198">
        <f>ROUND((G9+G11*(2.71828183^(LN(H57)-(H53)*2.71828183^(H55*LN(100/G20))))),3)</f>
        <v>232.827</v>
      </c>
      <c r="I33" s="198">
        <f>IF(F15=90,G33,H33)</f>
        <v>232.827</v>
      </c>
      <c r="J33" s="148"/>
      <c r="K33" s="13"/>
      <c r="L33" s="148"/>
      <c r="M33" s="148"/>
    </row>
    <row r="34" spans="1:13" x14ac:dyDescent="0.3">
      <c r="A34" s="148"/>
      <c r="B34" s="148"/>
      <c r="C34" s="148"/>
      <c r="D34" s="148"/>
      <c r="E34" s="148"/>
      <c r="F34" s="198" t="s">
        <v>76</v>
      </c>
      <c r="G34" s="198">
        <f>ROUND((G9+G11*(2.71828183^(LN(G57)-(G53)*2.71828183^(G55*LN(100/0.1))))),3)</f>
        <v>224.91300000000001</v>
      </c>
      <c r="H34" s="198">
        <f>ROUND((G9+G11*(2.71828183^(LN(H57)-(H53)*2.71828183^(H55*LN(100/0.1))))),3)</f>
        <v>232.827</v>
      </c>
      <c r="I34" s="198">
        <f>IF(F15=90,G34,H34)</f>
        <v>232.827</v>
      </c>
      <c r="J34" s="198"/>
      <c r="K34" s="13"/>
      <c r="L34" s="148"/>
      <c r="M34" s="148"/>
    </row>
    <row r="35" spans="1:13" x14ac:dyDescent="0.3">
      <c r="A35" s="148" t="s">
        <v>72</v>
      </c>
      <c r="B35" s="148"/>
      <c r="C35" s="13"/>
      <c r="D35" s="148"/>
      <c r="E35" s="148"/>
      <c r="F35" s="198"/>
      <c r="G35" s="198">
        <f>ROUND((((2.71828183^((LN((LN(G57)-(LN(ABS(G9-H83)/G11)))/(G53)))/(G55)))^-1)*100),2)</f>
        <v>1.41</v>
      </c>
      <c r="H35" s="198">
        <f>ROUND((((2.71828183^((LN((LN(H57)-(LN(ABS(G9-H83)/G11)))/(H53)))/(H55)))^-1)*100),2)</f>
        <v>1.8</v>
      </c>
      <c r="I35" s="198">
        <f>IF(F15=90,G35,H35)</f>
        <v>1.8</v>
      </c>
      <c r="J35" s="191"/>
      <c r="K35" s="13"/>
      <c r="L35" s="198"/>
      <c r="M35" s="148"/>
    </row>
    <row r="36" spans="1:13" x14ac:dyDescent="0.3">
      <c r="A36" s="148"/>
      <c r="B36" s="148"/>
      <c r="C36" s="148"/>
      <c r="D36" s="148"/>
      <c r="E36" s="148"/>
      <c r="F36" s="198" t="s">
        <v>76</v>
      </c>
      <c r="G36" s="198">
        <f>ROUND((((2.71828183^((LN((LN(G57)-(LN(ABS(G9-G32)/G11)))/(G53)))/(G55)))^-1)*100),2)</f>
        <v>0.1</v>
      </c>
      <c r="H36" s="198">
        <f>ROUND((((2.71828183^((LN((LN(H57)-(LN(ABS(G9-H32)/G11)))/(H53)))/(H55)))^-1)*100),2)</f>
        <v>0</v>
      </c>
      <c r="I36" s="198">
        <f>IF(F15=90,G36,H36)</f>
        <v>0</v>
      </c>
      <c r="J36" s="148"/>
      <c r="K36" s="13"/>
      <c r="L36" s="148"/>
      <c r="M36" s="148"/>
    </row>
    <row r="37" spans="1:13" x14ac:dyDescent="0.3">
      <c r="A37" s="148" t="s">
        <v>73</v>
      </c>
      <c r="B37" s="148"/>
      <c r="C37" s="148"/>
      <c r="D37" s="148"/>
      <c r="E37" s="148"/>
      <c r="F37" s="198"/>
      <c r="G37" s="198">
        <f>ROUND((((2.71828183^((LN((LN(G57)-(LN(ABS(G9-H85)/G11)))/(G53)))/(G55)))^-1)*100),2)</f>
        <v>1.41</v>
      </c>
      <c r="H37" s="198">
        <f>ROUND((((2.71828183^((LN((LN(H57)-(LN(ABS(G9-H85)/G11)))/(H53)))/(H55)))^-1)*100),2)</f>
        <v>1.8</v>
      </c>
      <c r="I37" s="198">
        <f>IF(F15=90,G37,H37)</f>
        <v>1.8</v>
      </c>
      <c r="J37" s="198"/>
      <c r="K37" s="13"/>
      <c r="L37" s="148"/>
      <c r="M37" s="148"/>
    </row>
    <row r="38" spans="1:13" x14ac:dyDescent="0.3">
      <c r="A38" s="148"/>
      <c r="B38" s="148"/>
      <c r="C38" s="148"/>
      <c r="D38" s="148"/>
      <c r="E38" s="148"/>
      <c r="F38" s="130" t="s">
        <v>76</v>
      </c>
      <c r="G38" s="130">
        <f>ROUND((((2.71828183^((LN((LN(G57)-(LN(ABS(G9-G34)/G11)))/(G53)))/(G55)))^-1)*100),2)</f>
        <v>0.1</v>
      </c>
      <c r="H38" s="130">
        <f>ROUND((((2.71828183^((LN((LN(H57)-(LN(ABS(G9-H34)/G11)))/(H53)))/(H55)))^-1)*100),2)</f>
        <v>0.1</v>
      </c>
      <c r="I38" s="130">
        <f>IF(F15=90,G38,H38)</f>
        <v>0.1</v>
      </c>
      <c r="J38" s="198"/>
      <c r="K38" s="13"/>
      <c r="L38" s="148"/>
      <c r="M38" s="148"/>
    </row>
    <row r="39" spans="1:13" x14ac:dyDescent="0.3">
      <c r="A39" s="148"/>
      <c r="B39" s="148"/>
      <c r="C39" s="148"/>
      <c r="D39" s="148"/>
      <c r="E39" s="148"/>
      <c r="F39" s="148"/>
      <c r="G39" s="148"/>
      <c r="H39" s="148"/>
      <c r="I39" s="148"/>
      <c r="J39" s="198"/>
      <c r="K39" s="13"/>
      <c r="L39" s="148"/>
      <c r="M39" s="148"/>
    </row>
    <row r="40" spans="1:13" x14ac:dyDescent="0.3">
      <c r="A40" s="148"/>
      <c r="B40" s="148"/>
      <c r="C40" s="148"/>
      <c r="D40" s="148"/>
      <c r="E40" s="148"/>
      <c r="F40" s="148"/>
      <c r="G40" s="148"/>
      <c r="H40" s="148"/>
      <c r="I40" s="147"/>
      <c r="J40" s="198"/>
      <c r="K40" s="148"/>
      <c r="L40" s="148"/>
      <c r="M40" s="148"/>
    </row>
    <row r="41" spans="1:13" x14ac:dyDescent="0.3">
      <c r="A41" s="148" t="s">
        <v>48</v>
      </c>
      <c r="B41" s="148" t="s">
        <v>49</v>
      </c>
      <c r="C41" s="148"/>
      <c r="D41" s="148"/>
      <c r="E41" s="148"/>
      <c r="F41" s="148"/>
      <c r="G41" s="148">
        <v>1.5671079999999999</v>
      </c>
      <c r="H41" s="148">
        <v>1.4221630000000001</v>
      </c>
      <c r="I41" s="199"/>
      <c r="J41" s="198"/>
      <c r="K41" s="148"/>
      <c r="L41" s="148"/>
      <c r="M41" s="148"/>
    </row>
    <row r="42" spans="1:13" x14ac:dyDescent="0.3">
      <c r="A42" s="148"/>
      <c r="B42" s="148" t="s">
        <v>50</v>
      </c>
      <c r="C42" s="148"/>
      <c r="D42" s="148"/>
      <c r="E42" s="148"/>
      <c r="F42" s="148"/>
      <c r="G42" s="148">
        <v>-0.131221</v>
      </c>
      <c r="H42" s="148">
        <v>-0.123849</v>
      </c>
      <c r="I42" s="199"/>
      <c r="J42" s="198"/>
      <c r="K42" s="148"/>
      <c r="L42" s="148"/>
      <c r="M42" s="148"/>
    </row>
    <row r="43" spans="1:13" x14ac:dyDescent="0.3">
      <c r="A43" s="148"/>
      <c r="B43" s="148" t="s">
        <v>51</v>
      </c>
      <c r="C43" s="148"/>
      <c r="D43" s="148"/>
      <c r="E43" s="148"/>
      <c r="F43" s="148"/>
      <c r="G43" s="148">
        <v>86.366</v>
      </c>
      <c r="H43" s="148">
        <v>87.387</v>
      </c>
      <c r="I43" s="199"/>
      <c r="J43" s="198"/>
      <c r="K43" s="148"/>
      <c r="L43" s="148"/>
      <c r="M43" s="148"/>
    </row>
    <row r="44" spans="1:13" x14ac:dyDescent="0.3">
      <c r="A44" s="148"/>
      <c r="B44" s="148"/>
      <c r="C44" s="148"/>
      <c r="D44" s="148"/>
      <c r="E44" s="148"/>
      <c r="F44" s="148"/>
      <c r="G44" s="148"/>
      <c r="H44" s="148"/>
      <c r="I44" s="199"/>
      <c r="J44" s="148"/>
      <c r="K44" s="148"/>
      <c r="L44" s="148"/>
      <c r="M44" s="148"/>
    </row>
    <row r="45" spans="1:13" x14ac:dyDescent="0.3">
      <c r="A45" s="148"/>
      <c r="B45" s="148" t="s">
        <v>52</v>
      </c>
      <c r="C45" s="148"/>
      <c r="D45" s="148"/>
      <c r="E45" s="148"/>
      <c r="F45" s="148"/>
      <c r="G45" s="148">
        <v>1.972073</v>
      </c>
      <c r="H45" s="148">
        <v>1.845048</v>
      </c>
      <c r="I45" s="199"/>
      <c r="J45" s="200"/>
      <c r="K45" s="148"/>
      <c r="L45" s="148"/>
      <c r="M45" s="148"/>
    </row>
    <row r="46" spans="1:13" x14ac:dyDescent="0.3">
      <c r="A46" s="148"/>
      <c r="B46" s="148" t="s">
        <v>53</v>
      </c>
      <c r="C46" s="148"/>
      <c r="D46" s="148"/>
      <c r="E46" s="148"/>
      <c r="F46" s="148"/>
      <c r="G46" s="148">
        <v>-0.113206</v>
      </c>
      <c r="H46" s="148">
        <v>-0.100951</v>
      </c>
      <c r="I46" s="199"/>
      <c r="J46" s="148"/>
      <c r="K46" s="148"/>
      <c r="L46" s="148"/>
      <c r="M46" s="148"/>
    </row>
    <row r="47" spans="1:13" x14ac:dyDescent="0.3">
      <c r="A47" s="148"/>
      <c r="B47" s="148" t="s">
        <v>54</v>
      </c>
      <c r="C47" s="148"/>
      <c r="D47" s="148"/>
      <c r="E47" s="148"/>
      <c r="F47" s="148"/>
      <c r="G47" s="148">
        <v>32.512999999999998</v>
      </c>
      <c r="H47" s="148">
        <v>32.825000000000003</v>
      </c>
      <c r="I47" s="199"/>
      <c r="J47" s="148"/>
      <c r="K47" s="148"/>
      <c r="L47" s="148"/>
      <c r="M47" s="148"/>
    </row>
    <row r="48" spans="1:13" x14ac:dyDescent="0.3">
      <c r="A48" s="148"/>
      <c r="B48" s="148"/>
      <c r="C48" s="148"/>
      <c r="D48" s="148"/>
      <c r="E48" s="148"/>
      <c r="F48" s="148"/>
      <c r="G48" s="148"/>
      <c r="H48" s="148"/>
      <c r="I48" s="199"/>
      <c r="J48" s="148"/>
      <c r="K48" s="148"/>
      <c r="L48" s="201"/>
      <c r="M48" s="148"/>
    </row>
    <row r="49" spans="1:13" x14ac:dyDescent="0.3">
      <c r="A49" s="148"/>
      <c r="B49" s="148" t="s">
        <v>55</v>
      </c>
      <c r="C49" s="148"/>
      <c r="D49" s="148"/>
      <c r="E49" s="148"/>
      <c r="F49" s="148"/>
      <c r="G49" s="148">
        <v>1.7942720000000001</v>
      </c>
      <c r="H49" s="148">
        <v>2.3219850000000002</v>
      </c>
      <c r="I49" s="199"/>
      <c r="J49" s="148"/>
      <c r="K49" s="148"/>
      <c r="L49" s="148"/>
      <c r="M49" s="148"/>
    </row>
    <row r="50" spans="1:13" x14ac:dyDescent="0.3">
      <c r="A50" s="148"/>
      <c r="B50" s="148" t="s">
        <v>56</v>
      </c>
      <c r="C50" s="148"/>
      <c r="D50" s="148"/>
      <c r="E50" s="148"/>
      <c r="F50" s="148"/>
      <c r="G50" s="148">
        <v>-0.62314599999999998</v>
      </c>
      <c r="H50" s="148">
        <v>-0.62603799999999998</v>
      </c>
      <c r="I50" s="199"/>
      <c r="J50" s="148"/>
      <c r="K50" s="148"/>
      <c r="L50" s="148"/>
      <c r="M50" s="148"/>
    </row>
    <row r="51" spans="1:13" x14ac:dyDescent="0.3">
      <c r="A51" s="148"/>
      <c r="B51" s="148" t="s">
        <v>57</v>
      </c>
      <c r="C51" s="148"/>
      <c r="D51" s="148"/>
      <c r="E51" s="148"/>
      <c r="F51" s="148"/>
      <c r="G51" s="148">
        <v>24.9</v>
      </c>
      <c r="H51" s="148">
        <v>24.821999999999999</v>
      </c>
      <c r="I51" s="199"/>
      <c r="J51" s="148"/>
      <c r="K51" s="148"/>
      <c r="L51" s="148"/>
      <c r="M51" s="148"/>
    </row>
    <row r="52" spans="1:13" x14ac:dyDescent="0.3">
      <c r="A52" s="148"/>
      <c r="B52" s="148"/>
      <c r="C52" s="148"/>
      <c r="D52" s="148"/>
      <c r="E52" s="148"/>
      <c r="F52" s="148"/>
      <c r="G52" s="148"/>
      <c r="H52" s="148"/>
      <c r="I52" s="199"/>
      <c r="J52" s="148"/>
      <c r="K52" s="148"/>
      <c r="L52" s="148"/>
      <c r="M52" s="148"/>
    </row>
    <row r="53" spans="1:13" x14ac:dyDescent="0.3">
      <c r="A53" s="148" t="s">
        <v>58</v>
      </c>
      <c r="B53" s="148"/>
      <c r="C53" s="148"/>
      <c r="D53" s="148"/>
      <c r="E53" s="148"/>
      <c r="F53" s="148"/>
      <c r="G53" s="148">
        <f>(2.71828183^((G43-2.71828183^(LN(G43)-(G41*(2.71828183^(-G42*LN(G13))))))/100))</f>
        <v>2.2284834946613188</v>
      </c>
      <c r="H53" s="148">
        <f>(2.71828183^((H43-2.71828183^(LN(H43)-(H41*(2.71828183^(-H42*LN(G13))))))/100))</f>
        <v>2.1984376433284463</v>
      </c>
      <c r="I53" s="199"/>
      <c r="J53" s="148"/>
      <c r="K53" s="148"/>
      <c r="L53" s="148"/>
      <c r="M53" s="148"/>
    </row>
    <row r="54" spans="1:13" x14ac:dyDescent="0.3">
      <c r="A54" s="148"/>
      <c r="B54" s="148"/>
      <c r="C54" s="148"/>
      <c r="D54" s="148"/>
      <c r="E54" s="148"/>
      <c r="F54" s="148"/>
      <c r="G54" s="148"/>
      <c r="H54" s="148"/>
      <c r="I54" s="199"/>
      <c r="J54" s="148"/>
      <c r="K54" s="148"/>
      <c r="L54" s="148"/>
      <c r="M54" s="148"/>
    </row>
    <row r="55" spans="1:13" x14ac:dyDescent="0.3">
      <c r="A55" s="148"/>
      <c r="B55" s="148"/>
      <c r="C55" s="148"/>
      <c r="D55" s="148" t="s">
        <v>59</v>
      </c>
      <c r="E55" s="148"/>
      <c r="F55" s="148"/>
      <c r="G55" s="148">
        <f>(G47-2.71828183^(LN(G47)-(G45*(2.71828183^(-G46*LN(G13))))))/(-100)</f>
        <v>-0.31020412291910948</v>
      </c>
      <c r="H55" s="148">
        <f>(H47-2.71828183^(LN(H47)-(H45*(2.71828183^(-H46*LN(G13))))))/(-100)</f>
        <v>-0.3071969950858508</v>
      </c>
      <c r="I55" s="199"/>
      <c r="J55" s="148"/>
      <c r="K55" s="148"/>
      <c r="L55" s="148"/>
      <c r="M55" s="148"/>
    </row>
    <row r="56" spans="1:13" x14ac:dyDescent="0.3">
      <c r="A56" s="148"/>
      <c r="B56" s="148"/>
      <c r="C56" s="148"/>
      <c r="D56" s="148"/>
      <c r="E56" s="148"/>
      <c r="F56" s="148"/>
      <c r="G56" s="148"/>
      <c r="H56" s="148"/>
      <c r="I56" s="199"/>
      <c r="J56" s="148"/>
      <c r="K56" s="148"/>
      <c r="L56" s="148"/>
      <c r="M56" s="148"/>
    </row>
    <row r="57" spans="1:13" x14ac:dyDescent="0.3">
      <c r="A57" s="148"/>
      <c r="B57" s="148"/>
      <c r="C57" s="148"/>
      <c r="D57" s="148" t="s">
        <v>60</v>
      </c>
      <c r="E57" s="148"/>
      <c r="F57" s="148"/>
      <c r="G57" s="148">
        <f>((2.71828183^(LN(G51)-G49*2.71828183^(G50*LN(G13))))^-1)*100</f>
        <v>4.6841406728432951</v>
      </c>
      <c r="H57" s="148">
        <f>((2.71828183^(LN(H51)-H49*2.71828183^(H50*LN(G13))))^-1)*100</f>
        <v>4.9053207232684937</v>
      </c>
      <c r="I57" s="199"/>
      <c r="J57" s="148"/>
      <c r="K57" s="148"/>
      <c r="L57" s="148"/>
      <c r="M57" s="148"/>
    </row>
    <row r="58" spans="1:13" x14ac:dyDescent="0.3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</row>
    <row r="59" spans="1:13" x14ac:dyDescent="0.3">
      <c r="A59" s="148" t="s">
        <v>61</v>
      </c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</row>
    <row r="60" spans="1:13" x14ac:dyDescent="0.3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</row>
    <row r="61" spans="1:13" x14ac:dyDescent="0.3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</row>
    <row r="62" spans="1:13" x14ac:dyDescent="0.3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</row>
    <row r="63" spans="1:13" ht="15.6" x14ac:dyDescent="0.3">
      <c r="A63" s="190" t="s">
        <v>36</v>
      </c>
      <c r="B63" s="190"/>
      <c r="C63" s="190"/>
      <c r="D63" s="190"/>
      <c r="E63" s="190"/>
      <c r="F63" s="190"/>
      <c r="G63" s="190"/>
      <c r="H63" s="190"/>
      <c r="I63" s="190"/>
      <c r="J63" s="148"/>
      <c r="K63" s="148"/>
      <c r="L63" s="148"/>
      <c r="M63" s="148"/>
    </row>
    <row r="64" spans="1:13" ht="15.6" x14ac:dyDescent="0.3">
      <c r="A64" s="192" t="s">
        <v>200</v>
      </c>
      <c r="B64" s="190"/>
      <c r="C64" s="190"/>
      <c r="D64" s="190"/>
      <c r="E64" s="190"/>
      <c r="F64" s="190"/>
      <c r="G64" s="190"/>
      <c r="H64" s="190"/>
      <c r="I64" s="190"/>
      <c r="J64" s="148"/>
      <c r="K64" s="148"/>
      <c r="L64" s="148"/>
      <c r="M64" s="148"/>
    </row>
    <row r="65" spans="1:13" ht="15.6" x14ac:dyDescent="0.3">
      <c r="A65" s="190" t="s">
        <v>202</v>
      </c>
      <c r="B65" s="190"/>
      <c r="C65" s="190"/>
      <c r="D65" s="190"/>
      <c r="E65" s="190"/>
      <c r="F65" s="190"/>
      <c r="G65" s="190"/>
      <c r="H65" s="190"/>
      <c r="I65" s="190"/>
      <c r="J65" s="148"/>
      <c r="K65" s="148"/>
      <c r="L65" s="148"/>
      <c r="M65" s="148"/>
    </row>
    <row r="66" spans="1:13" x14ac:dyDescent="0.3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</row>
    <row r="67" spans="1:13" ht="28.8" x14ac:dyDescent="0.55000000000000004">
      <c r="A67" s="194" t="s">
        <v>81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</row>
    <row r="68" spans="1:13" x14ac:dyDescent="0.3">
      <c r="A68" s="191" t="s">
        <v>37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</row>
    <row r="69" spans="1:13" x14ac:dyDescent="0.3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</row>
    <row r="70" spans="1:13" x14ac:dyDescent="0.3">
      <c r="A70" s="148" t="s">
        <v>38</v>
      </c>
      <c r="B70" s="148"/>
      <c r="C70" s="148"/>
      <c r="D70" s="13">
        <f>'&lt;BENENNUNG&gt;EINZELSERIEN'!$L$23</f>
        <v>50</v>
      </c>
      <c r="E70" s="148" t="s">
        <v>93</v>
      </c>
      <c r="F70" s="148"/>
      <c r="G70" s="148"/>
      <c r="H70" s="148"/>
      <c r="I70" s="148"/>
      <c r="J70" s="148"/>
      <c r="K70" s="148"/>
      <c r="L70" s="148"/>
      <c r="M70" s="148"/>
    </row>
    <row r="71" spans="1:13" x14ac:dyDescent="0.3">
      <c r="A71" s="148"/>
      <c r="B71" s="148"/>
      <c r="C71" s="148"/>
      <c r="D71" s="13"/>
      <c r="E71" s="148" t="s">
        <v>90</v>
      </c>
      <c r="F71" s="148"/>
      <c r="G71" s="148">
        <f>((ABS(I94-D70))-((D72*H71)/D74^0.5))</f>
        <v>102.79315610417649</v>
      </c>
      <c r="H71" s="148">
        <f>'&lt;BENENNUNG&gt; SERIENSUMME'!$E$30</f>
        <v>1.6761355273506955</v>
      </c>
      <c r="I71" s="148"/>
      <c r="J71" s="148"/>
      <c r="K71" s="148"/>
      <c r="L71" s="148"/>
      <c r="M71" s="148"/>
    </row>
    <row r="72" spans="1:13" x14ac:dyDescent="0.3">
      <c r="A72" s="148" t="s">
        <v>39</v>
      </c>
      <c r="B72" s="148"/>
      <c r="C72" s="148"/>
      <c r="D72" s="13">
        <f>'&lt;BENENNUNG&gt;EINZELSERIEN'!$L$24</f>
        <v>48.5</v>
      </c>
      <c r="E72" s="148" t="s">
        <v>91</v>
      </c>
      <c r="F72" s="148"/>
      <c r="G72" s="148">
        <f>(ABS(I95-D70)-((D72*H71)/D74^0.5))</f>
        <v>181.55815610417648</v>
      </c>
      <c r="H72" s="148"/>
      <c r="I72" s="148"/>
      <c r="J72" s="148"/>
      <c r="K72" s="148"/>
      <c r="L72" s="148"/>
      <c r="M72" s="148"/>
    </row>
    <row r="73" spans="1:13" x14ac:dyDescent="0.3">
      <c r="A73" s="148"/>
      <c r="B73" s="148"/>
      <c r="C73" s="148"/>
      <c r="D73" s="13"/>
      <c r="E73" s="148" t="s">
        <v>92</v>
      </c>
      <c r="F73" s="148"/>
      <c r="G73" s="148">
        <f>ROUND((G71/G72)*100*-1,2)</f>
        <v>-56.62</v>
      </c>
      <c r="H73" s="148"/>
      <c r="I73" s="148"/>
      <c r="J73" s="148"/>
      <c r="K73" s="148"/>
      <c r="L73" s="148"/>
      <c r="M73" s="148"/>
    </row>
    <row r="74" spans="1:13" x14ac:dyDescent="0.3">
      <c r="A74" s="148" t="s">
        <v>40</v>
      </c>
      <c r="B74" s="148"/>
      <c r="C74" s="148"/>
      <c r="D74" s="13">
        <f>'&lt;BENENNUNG&gt;EINZELSERIEN'!$L$25</f>
        <v>51.5</v>
      </c>
      <c r="E74" s="148"/>
      <c r="F74" s="148"/>
      <c r="G74" s="148"/>
      <c r="H74" s="148"/>
      <c r="I74" s="148"/>
      <c r="J74" s="148"/>
      <c r="K74" s="148"/>
      <c r="L74" s="148"/>
      <c r="M74" s="148"/>
    </row>
    <row r="75" spans="1:13" x14ac:dyDescent="0.3">
      <c r="A75" s="148"/>
      <c r="B75" s="148"/>
      <c r="C75" s="148"/>
      <c r="D75" s="13"/>
      <c r="E75" s="148"/>
      <c r="F75" s="148"/>
      <c r="G75" s="148"/>
      <c r="H75" s="148"/>
      <c r="I75" s="148"/>
      <c r="J75" s="148"/>
      <c r="K75" s="148"/>
      <c r="L75" s="148"/>
      <c r="M75" s="148"/>
    </row>
    <row r="76" spans="1:13" x14ac:dyDescent="0.3">
      <c r="A76" s="148"/>
      <c r="B76" s="148"/>
      <c r="C76" s="148"/>
      <c r="D76" s="13"/>
      <c r="E76" s="148"/>
      <c r="F76" s="148"/>
      <c r="G76" s="148"/>
      <c r="H76" s="148"/>
      <c r="I76" s="148"/>
      <c r="J76" s="148"/>
      <c r="K76" s="148"/>
      <c r="L76" s="148"/>
      <c r="M76" s="148"/>
    </row>
    <row r="77" spans="1:13" x14ac:dyDescent="0.3">
      <c r="A77" s="191" t="s">
        <v>203</v>
      </c>
      <c r="B77" s="148"/>
      <c r="C77" s="148"/>
      <c r="D77" s="13"/>
      <c r="E77" s="148" t="s">
        <v>94</v>
      </c>
      <c r="F77" s="148"/>
      <c r="G77" s="148"/>
      <c r="H77" s="148"/>
      <c r="I77" s="148"/>
      <c r="J77" s="148"/>
      <c r="K77" s="148"/>
      <c r="L77" s="148"/>
      <c r="M77" s="148"/>
    </row>
    <row r="78" spans="1:13" x14ac:dyDescent="0.3">
      <c r="A78" s="148"/>
      <c r="B78" s="148"/>
      <c r="C78" s="148"/>
      <c r="D78" s="13"/>
      <c r="E78" s="148" t="s">
        <v>90</v>
      </c>
      <c r="F78" s="148"/>
      <c r="G78" s="148">
        <f>(ABS(I96-D70)-((D72*H78)/D74^0.5))</f>
        <v>102.7931561041765</v>
      </c>
      <c r="H78" s="148">
        <f>'&lt;BENENNUNG&gt; SERIENSUMME'!$E$30</f>
        <v>1.6761355273506955</v>
      </c>
      <c r="I78" s="148"/>
      <c r="J78" s="148"/>
      <c r="K78" s="148"/>
      <c r="L78" s="148"/>
      <c r="M78" s="148"/>
    </row>
    <row r="79" spans="1:13" x14ac:dyDescent="0.3">
      <c r="A79" s="148" t="s">
        <v>41</v>
      </c>
      <c r="B79" s="148"/>
      <c r="C79" s="148"/>
      <c r="D79" s="13">
        <f>'&lt;BENENNUNG&gt; SERIENSUMME'!$L$31</f>
        <v>5</v>
      </c>
      <c r="E79" s="202" t="s">
        <v>91</v>
      </c>
      <c r="F79" s="148"/>
      <c r="G79" s="148">
        <f>(ABS(I97-D70)-((D72*H78)/D74^0.5))</f>
        <v>181.55815610417648</v>
      </c>
      <c r="H79" s="148">
        <f>(('&lt;BENENNUNG&gt; SERIENSUMME'!$E$30)*D72)/(D74^0.5)</f>
        <v>11.327843895823506</v>
      </c>
      <c r="I79" s="148"/>
      <c r="J79" s="148"/>
      <c r="K79" s="148"/>
      <c r="L79" s="148"/>
      <c r="M79" s="148"/>
    </row>
    <row r="80" spans="1:13" x14ac:dyDescent="0.3">
      <c r="A80" s="148"/>
      <c r="B80" s="148"/>
      <c r="C80" s="148"/>
      <c r="D80" s="13"/>
      <c r="E80" s="148" t="s">
        <v>92</v>
      </c>
      <c r="F80" s="148"/>
      <c r="G80" s="148">
        <f>ROUND((G78/G79)*100,2)</f>
        <v>56.62</v>
      </c>
      <c r="H80" s="148"/>
      <c r="I80" s="148"/>
      <c r="J80" s="147"/>
      <c r="K80" s="148"/>
      <c r="L80" s="148"/>
      <c r="M80" s="148"/>
    </row>
    <row r="81" spans="1:13" x14ac:dyDescent="0.3">
      <c r="A81" s="148" t="s">
        <v>42</v>
      </c>
      <c r="B81" s="148"/>
      <c r="C81" s="148"/>
      <c r="D81" s="13">
        <f>'&lt;BENENNUNG&gt; SERIENSUMME'!$L$30</f>
        <v>5</v>
      </c>
      <c r="E81" s="191"/>
      <c r="F81" s="148"/>
      <c r="G81" s="148"/>
      <c r="H81" s="148" t="s">
        <v>106</v>
      </c>
      <c r="I81" s="148"/>
      <c r="J81" s="148"/>
      <c r="K81" s="148"/>
      <c r="L81" s="148"/>
      <c r="M81" s="148"/>
    </row>
    <row r="82" spans="1:13" x14ac:dyDescent="0.3">
      <c r="A82" s="148"/>
      <c r="B82" s="148"/>
      <c r="C82" s="148"/>
      <c r="D82" s="13"/>
      <c r="E82" s="148"/>
      <c r="F82" s="148"/>
      <c r="G82" s="148"/>
      <c r="H82" s="148"/>
      <c r="I82" s="148"/>
      <c r="J82" s="148"/>
      <c r="K82" s="148"/>
      <c r="L82" s="148"/>
      <c r="M82" s="148"/>
    </row>
    <row r="83" spans="1:13" x14ac:dyDescent="0.3">
      <c r="A83" s="148"/>
      <c r="B83" s="148"/>
      <c r="C83" s="148"/>
      <c r="D83" s="13"/>
      <c r="E83" s="148" t="s">
        <v>70</v>
      </c>
      <c r="F83" s="148"/>
      <c r="G83" s="148" t="s">
        <v>77</v>
      </c>
      <c r="H83" s="130">
        <f>((D70-H79)-(((D70-I94))))</f>
        <v>-75.448843895823501</v>
      </c>
      <c r="I83" s="148"/>
      <c r="J83" s="148"/>
      <c r="K83" s="148"/>
      <c r="L83" s="148"/>
      <c r="M83" s="148"/>
    </row>
    <row r="84" spans="1:13" x14ac:dyDescent="0.3">
      <c r="A84" s="148"/>
      <c r="B84" s="191" t="s">
        <v>78</v>
      </c>
      <c r="C84" s="148"/>
      <c r="D84" s="13"/>
      <c r="E84" s="148"/>
      <c r="F84" s="148"/>
      <c r="G84" s="148"/>
      <c r="H84" s="13"/>
      <c r="I84" s="148"/>
      <c r="J84" s="148"/>
      <c r="K84" s="148"/>
      <c r="L84" s="148"/>
      <c r="M84" s="148"/>
    </row>
    <row r="85" spans="1:13" x14ac:dyDescent="0.3">
      <c r="A85" s="148"/>
      <c r="B85" s="148"/>
      <c r="C85" s="148"/>
      <c r="D85" s="13"/>
      <c r="E85" s="148" t="s">
        <v>71</v>
      </c>
      <c r="F85" s="148"/>
      <c r="G85" s="148" t="s">
        <v>77</v>
      </c>
      <c r="H85" s="130">
        <f>((D70+H79)+(((I96-D70))))</f>
        <v>175.44884389582353</v>
      </c>
      <c r="I85" s="148"/>
      <c r="J85" s="148"/>
      <c r="K85" s="148"/>
      <c r="L85" s="148"/>
      <c r="M85" s="148"/>
    </row>
    <row r="86" spans="1:13" x14ac:dyDescent="0.3">
      <c r="A86" s="148" t="s">
        <v>70</v>
      </c>
      <c r="B86" s="148"/>
      <c r="C86" s="148"/>
      <c r="D86" s="13">
        <v>-5</v>
      </c>
      <c r="E86" s="191"/>
      <c r="F86" s="148"/>
      <c r="G86" s="148"/>
      <c r="H86" s="148"/>
      <c r="I86" s="148"/>
      <c r="J86" s="148"/>
      <c r="K86" s="148"/>
      <c r="L86" s="148"/>
      <c r="M86" s="148"/>
    </row>
    <row r="87" spans="1:13" x14ac:dyDescent="0.3">
      <c r="A87" s="148"/>
      <c r="B87" s="148"/>
      <c r="C87" s="148"/>
      <c r="D87" s="13"/>
      <c r="E87" s="148" t="s">
        <v>95</v>
      </c>
      <c r="F87" s="148"/>
      <c r="G87" s="148" t="s">
        <v>96</v>
      </c>
      <c r="H87" s="130">
        <f>((D70-H79)-(((D70-I95))))</f>
        <v>-154.21384389582352</v>
      </c>
      <c r="I87" s="148"/>
      <c r="J87" s="148"/>
      <c r="K87" s="148"/>
      <c r="L87" s="148"/>
      <c r="M87" s="148"/>
    </row>
    <row r="88" spans="1:13" x14ac:dyDescent="0.3">
      <c r="A88" s="148" t="s">
        <v>71</v>
      </c>
      <c r="B88" s="148"/>
      <c r="C88" s="148"/>
      <c r="D88" s="13">
        <v>-5</v>
      </c>
      <c r="E88" s="191"/>
      <c r="F88" s="148"/>
      <c r="G88" s="148"/>
      <c r="H88" s="130"/>
      <c r="I88" s="148"/>
      <c r="J88" s="148"/>
      <c r="K88" s="148"/>
      <c r="L88" s="148"/>
      <c r="M88" s="148"/>
    </row>
    <row r="89" spans="1:13" ht="21" x14ac:dyDescent="0.4">
      <c r="A89" s="148"/>
      <c r="B89" s="148"/>
      <c r="C89" s="148"/>
      <c r="D89" s="148"/>
      <c r="E89" s="148" t="s">
        <v>97</v>
      </c>
      <c r="F89" s="148"/>
      <c r="G89" s="148" t="s">
        <v>96</v>
      </c>
      <c r="H89" s="130">
        <f>(D70+H79)+(((D70-I95)))</f>
        <v>254.21384389582352</v>
      </c>
      <c r="I89" s="148"/>
      <c r="J89" s="203"/>
      <c r="K89" s="148"/>
      <c r="L89" s="148"/>
      <c r="M89" s="148"/>
    </row>
    <row r="90" spans="1:13" x14ac:dyDescent="0.3">
      <c r="A90" s="148"/>
      <c r="B90" s="148"/>
      <c r="C90" s="148"/>
      <c r="D90" s="148"/>
      <c r="E90" s="148"/>
      <c r="F90" s="148"/>
      <c r="G90" s="148"/>
      <c r="H90" s="148"/>
      <c r="I90" s="148"/>
      <c r="J90" s="191"/>
      <c r="K90" s="148"/>
      <c r="L90" s="148"/>
      <c r="M90" s="148"/>
    </row>
    <row r="91" spans="1:13" x14ac:dyDescent="0.3">
      <c r="A91" s="148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</row>
    <row r="92" spans="1:13" x14ac:dyDescent="0.3">
      <c r="A92" s="191" t="s">
        <v>43</v>
      </c>
      <c r="B92" s="148"/>
      <c r="C92" s="148"/>
      <c r="D92" s="148"/>
      <c r="E92" s="148"/>
      <c r="F92" s="198"/>
      <c r="G92" s="198" t="s">
        <v>44</v>
      </c>
      <c r="H92" s="198" t="s">
        <v>45</v>
      </c>
      <c r="I92" s="198" t="s">
        <v>84</v>
      </c>
      <c r="J92" s="198"/>
      <c r="K92" s="13"/>
      <c r="L92" s="148"/>
      <c r="M92" s="148"/>
    </row>
    <row r="93" spans="1:13" x14ac:dyDescent="0.3">
      <c r="A93" s="148"/>
      <c r="B93" s="148"/>
      <c r="C93" s="148"/>
      <c r="D93" s="148"/>
      <c r="E93" s="148"/>
      <c r="F93" s="148"/>
      <c r="G93" s="148"/>
      <c r="H93" s="148"/>
      <c r="I93" s="148"/>
      <c r="J93" s="198"/>
      <c r="K93" s="13"/>
      <c r="L93" s="148"/>
      <c r="M93" s="148"/>
    </row>
    <row r="94" spans="1:13" x14ac:dyDescent="0.3">
      <c r="A94" s="148" t="s">
        <v>46</v>
      </c>
      <c r="B94" s="148"/>
      <c r="C94" s="148" t="s">
        <v>79</v>
      </c>
      <c r="D94" s="148"/>
      <c r="E94" s="148"/>
      <c r="F94" s="198"/>
      <c r="G94" s="198">
        <f>ROUND((D70-D72*(2.71828183^(LN(G120)-(G116)*2.71828183^(G118*LN(100/D79))))),3)</f>
        <v>-59.79</v>
      </c>
      <c r="H94" s="198">
        <f>ROUND((D70-D72*(2.71828183^(LN(H120)-(H116)*2.71828183^(H118*LN(100/D79))))),3)</f>
        <v>-64.120999999999995</v>
      </c>
      <c r="I94" s="198">
        <f>IF(F15=90,G94,H94)</f>
        <v>-64.120999999999995</v>
      </c>
      <c r="J94" s="198"/>
      <c r="K94" s="13"/>
      <c r="L94" s="148"/>
      <c r="M94" s="148"/>
    </row>
    <row r="95" spans="1:13" x14ac:dyDescent="0.3">
      <c r="A95" s="148"/>
      <c r="B95" s="148"/>
      <c r="C95" s="148"/>
      <c r="D95" s="148"/>
      <c r="E95" s="148"/>
      <c r="F95" s="191" t="s">
        <v>76</v>
      </c>
      <c r="G95" s="198">
        <f>ROUND((D70-D72*(2.71828183^(LN(G120)-(G116)*2.71828183^(G118*LN(100/0.1))))),3)</f>
        <v>-135.51900000000001</v>
      </c>
      <c r="H95" s="198">
        <f>ROUND((D70-D72*(2.71828183^(LN(H120)-(H116)*2.71828183^(H118*LN(100/0.1))))),3)</f>
        <v>-142.886</v>
      </c>
      <c r="I95" s="198">
        <f>IF(F15=90,G95,H95)</f>
        <v>-142.886</v>
      </c>
      <c r="J95" s="198"/>
      <c r="K95" s="13"/>
      <c r="L95" s="148"/>
      <c r="M95" s="148"/>
    </row>
    <row r="96" spans="1:13" x14ac:dyDescent="0.3">
      <c r="A96" s="148" t="s">
        <v>47</v>
      </c>
      <c r="B96" s="148"/>
      <c r="C96" s="148" t="s">
        <v>79</v>
      </c>
      <c r="D96" s="148"/>
      <c r="E96" s="148"/>
      <c r="F96" s="191"/>
      <c r="G96" s="198">
        <f>ROUND((D70+D72*(2.71828183^(LN(G120)-(G116)*2.71828183^(G118*LN(100/D81))))),3)</f>
        <v>159.79</v>
      </c>
      <c r="H96" s="198">
        <f>ROUND((D70+D72*(2.71828183^(LN(H120)-(H116)*2.71828183^(H118*LN(100/D81))))),3)</f>
        <v>164.12100000000001</v>
      </c>
      <c r="I96" s="198">
        <f>IF(F15=90,G96,H96)</f>
        <v>164.12100000000001</v>
      </c>
      <c r="J96" s="198"/>
      <c r="K96" s="13"/>
      <c r="L96" s="148"/>
      <c r="M96" s="148"/>
    </row>
    <row r="97" spans="1:13" x14ac:dyDescent="0.3">
      <c r="A97" s="148"/>
      <c r="B97" s="148"/>
      <c r="C97" s="148"/>
      <c r="D97" s="148"/>
      <c r="E97" s="148"/>
      <c r="F97" s="191" t="s">
        <v>76</v>
      </c>
      <c r="G97" s="198">
        <f>ROUND((D70+D72*(2.71828183^(LN(G120)-(G116)*2.71828183^(G118*LN(100/0.1))))),3)</f>
        <v>235.51900000000001</v>
      </c>
      <c r="H97" s="198">
        <f>ROUND((D70+D72*(2.71828183^(LN(H120)-(H116)*2.71828183^(H118*LN(100/0.1))))),3)</f>
        <v>242.886</v>
      </c>
      <c r="I97" s="198">
        <f>IF(F15=90,G97,H97)</f>
        <v>242.886</v>
      </c>
      <c r="J97" s="198"/>
      <c r="K97" s="13"/>
      <c r="L97" s="148"/>
      <c r="M97" s="148"/>
    </row>
    <row r="98" spans="1:13" x14ac:dyDescent="0.3">
      <c r="A98" s="148" t="s">
        <v>72</v>
      </c>
      <c r="B98" s="148"/>
      <c r="C98" s="13"/>
      <c r="D98" s="148"/>
      <c r="E98" s="148"/>
      <c r="F98" s="191"/>
      <c r="G98" s="204">
        <f>ROUND((((2.71828183^((LN((LN(G120)-(LN(ABS(D70-D86)/D72)))/(G116)))/(G118)))^-1)*100),2)</f>
        <v>50.99</v>
      </c>
      <c r="H98" s="204">
        <f>ROUND((((2.71828183^((LN((LN(H120)-(LN(ABS(D70-D86)/D72)))/(H116)))/(H118)))^-1)*100),2)</f>
        <v>56.07</v>
      </c>
      <c r="I98" s="198"/>
      <c r="J98" s="198"/>
      <c r="K98" s="13"/>
      <c r="L98" s="148"/>
      <c r="M98" s="148"/>
    </row>
    <row r="99" spans="1:13" x14ac:dyDescent="0.3">
      <c r="A99" s="148"/>
      <c r="B99" s="148"/>
      <c r="C99" s="148"/>
      <c r="D99" s="148"/>
      <c r="E99" s="148"/>
      <c r="F99" s="191"/>
      <c r="G99" s="204"/>
      <c r="H99" s="204"/>
      <c r="I99" s="198"/>
      <c r="J99" s="148"/>
      <c r="K99" s="148"/>
      <c r="L99" s="148"/>
      <c r="M99" s="148"/>
    </row>
    <row r="100" spans="1:13" x14ac:dyDescent="0.3">
      <c r="A100" s="148" t="s">
        <v>73</v>
      </c>
      <c r="B100" s="148"/>
      <c r="C100" s="148"/>
      <c r="D100" s="148"/>
      <c r="E100" s="148"/>
      <c r="F100" s="191"/>
      <c r="G100" s="204">
        <f>ROUND((((2.71828183^((LN((LN(G120)-(LN(ABS(D70-D88)/D72)))/(G116)))/(G118)))^-1)*100),2)</f>
        <v>50.99</v>
      </c>
      <c r="H100" s="204">
        <f>ROUND((((2.71828183^((LN((LN(H120)-(LN(ABS(D70-D88)/D72)))/(H116)))/(H118)))^-1)*100),2)</f>
        <v>56.07</v>
      </c>
      <c r="I100" s="198"/>
      <c r="J100" s="148"/>
      <c r="K100" s="148"/>
      <c r="L100" s="148"/>
      <c r="M100" s="148"/>
    </row>
    <row r="101" spans="1:13" x14ac:dyDescent="0.3">
      <c r="A101" s="148"/>
      <c r="B101" s="148"/>
      <c r="C101" s="148"/>
      <c r="D101" s="148"/>
      <c r="E101" s="148"/>
      <c r="F101" s="147"/>
      <c r="G101" s="148"/>
      <c r="H101" s="148"/>
      <c r="I101" s="148"/>
      <c r="J101" s="148"/>
      <c r="K101" s="148"/>
      <c r="L101" s="148"/>
      <c r="M101" s="148"/>
    </row>
    <row r="102" spans="1:13" x14ac:dyDescent="0.3">
      <c r="A102" s="148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  <c r="M102" s="148"/>
    </row>
    <row r="103" spans="1:13" ht="15.6" x14ac:dyDescent="0.3">
      <c r="A103" s="148"/>
      <c r="B103" s="148"/>
      <c r="C103" s="148"/>
      <c r="D103" s="148"/>
      <c r="E103" s="148"/>
      <c r="F103" s="148"/>
      <c r="G103" s="148"/>
      <c r="H103" s="148"/>
      <c r="I103" s="148"/>
      <c r="J103" s="190"/>
      <c r="K103" s="191"/>
      <c r="L103" s="191"/>
      <c r="M103" s="148"/>
    </row>
    <row r="104" spans="1:13" ht="15.6" x14ac:dyDescent="0.3">
      <c r="A104" s="148" t="s">
        <v>48</v>
      </c>
      <c r="B104" s="148" t="s">
        <v>49</v>
      </c>
      <c r="C104" s="148"/>
      <c r="D104" s="148"/>
      <c r="E104" s="148"/>
      <c r="F104" s="148"/>
      <c r="G104" s="13">
        <v>0.356929</v>
      </c>
      <c r="H104" s="13">
        <v>0.44659900000000002</v>
      </c>
      <c r="I104" s="148"/>
      <c r="J104" s="190"/>
      <c r="K104" s="191"/>
      <c r="L104" s="191"/>
      <c r="M104" s="148"/>
    </row>
    <row r="105" spans="1:13" ht="15.6" x14ac:dyDescent="0.3">
      <c r="A105" s="148"/>
      <c r="B105" s="148" t="s">
        <v>50</v>
      </c>
      <c r="C105" s="148"/>
      <c r="D105" s="148"/>
      <c r="E105" s="148"/>
      <c r="F105" s="148"/>
      <c r="G105" s="13">
        <v>-1.153783</v>
      </c>
      <c r="H105" s="13">
        <v>-1.1646840000000001</v>
      </c>
      <c r="I105" s="148"/>
      <c r="J105" s="190"/>
      <c r="K105" s="191"/>
      <c r="L105" s="191"/>
      <c r="M105" s="148"/>
    </row>
    <row r="106" spans="1:13" x14ac:dyDescent="0.3">
      <c r="A106" s="148"/>
      <c r="B106" s="148" t="s">
        <v>51</v>
      </c>
      <c r="C106" s="148"/>
      <c r="D106" s="148"/>
      <c r="E106" s="148"/>
      <c r="F106" s="148"/>
      <c r="G106" s="13">
        <v>58.665999999999997</v>
      </c>
      <c r="H106" s="13">
        <v>58.713500000000003</v>
      </c>
      <c r="I106" s="148"/>
      <c r="J106" s="148"/>
      <c r="K106" s="148"/>
      <c r="L106" s="148"/>
      <c r="M106" s="148"/>
    </row>
    <row r="107" spans="1:13" x14ac:dyDescent="0.3">
      <c r="A107" s="148"/>
      <c r="B107" s="148"/>
      <c r="C107" s="148"/>
      <c r="D107" s="148"/>
      <c r="E107" s="148"/>
      <c r="F107" s="148"/>
      <c r="G107" s="13"/>
      <c r="H107" s="13"/>
      <c r="I107" s="148"/>
      <c r="J107" s="148"/>
      <c r="K107" s="148"/>
      <c r="L107" s="148"/>
      <c r="M107" s="148"/>
    </row>
    <row r="108" spans="1:13" x14ac:dyDescent="0.3">
      <c r="A108" s="148"/>
      <c r="B108" s="148" t="s">
        <v>52</v>
      </c>
      <c r="C108" s="148"/>
      <c r="D108" s="148"/>
      <c r="E108" s="148"/>
      <c r="F108" s="148"/>
      <c r="G108" s="13"/>
      <c r="H108" s="13"/>
      <c r="I108" s="148"/>
      <c r="J108" s="148"/>
      <c r="K108" s="148"/>
      <c r="L108" s="148"/>
      <c r="M108" s="148"/>
    </row>
    <row r="109" spans="1:13" x14ac:dyDescent="0.3">
      <c r="A109" s="148"/>
      <c r="B109" s="148" t="s">
        <v>53</v>
      </c>
      <c r="C109" s="148"/>
      <c r="D109" s="148"/>
      <c r="E109" s="148"/>
      <c r="F109" s="148"/>
      <c r="G109" s="13"/>
      <c r="H109" s="13"/>
      <c r="I109" s="148"/>
      <c r="J109" s="148"/>
      <c r="K109" s="148"/>
      <c r="L109" s="148"/>
      <c r="M109" s="148"/>
    </row>
    <row r="110" spans="1:13" x14ac:dyDescent="0.3">
      <c r="A110" s="148"/>
      <c r="B110" s="148" t="s">
        <v>54</v>
      </c>
      <c r="C110" s="148"/>
      <c r="D110" s="148"/>
      <c r="E110" s="148"/>
      <c r="F110" s="148"/>
      <c r="G110" s="13"/>
      <c r="H110" s="13"/>
      <c r="I110" s="148"/>
      <c r="J110" s="148"/>
      <c r="K110" s="148"/>
      <c r="L110" s="148"/>
      <c r="M110" s="148"/>
    </row>
    <row r="111" spans="1:13" x14ac:dyDescent="0.3">
      <c r="A111" s="148"/>
      <c r="B111" s="148"/>
      <c r="C111" s="148"/>
      <c r="D111" s="148"/>
      <c r="E111" s="148"/>
      <c r="F111" s="148"/>
      <c r="G111" s="13"/>
      <c r="H111" s="13"/>
      <c r="I111" s="148"/>
      <c r="J111" s="148"/>
      <c r="K111" s="148"/>
      <c r="L111" s="148"/>
      <c r="M111" s="148"/>
    </row>
    <row r="112" spans="1:13" x14ac:dyDescent="0.3">
      <c r="A112" s="148"/>
      <c r="B112" s="148" t="s">
        <v>55</v>
      </c>
      <c r="C112" s="148"/>
      <c r="D112" s="148"/>
      <c r="E112" s="148"/>
      <c r="F112" s="148"/>
      <c r="G112" s="13">
        <v>1.796149</v>
      </c>
      <c r="H112" s="13">
        <v>2.3636879999999998</v>
      </c>
      <c r="I112" s="148"/>
      <c r="J112" s="148"/>
      <c r="K112" s="148"/>
      <c r="L112" s="148"/>
      <c r="M112" s="148"/>
    </row>
    <row r="113" spans="1:13" x14ac:dyDescent="0.3">
      <c r="A113" s="148"/>
      <c r="B113" s="148" t="s">
        <v>56</v>
      </c>
      <c r="C113" s="148"/>
      <c r="D113" s="148"/>
      <c r="E113" s="148"/>
      <c r="F113" s="148"/>
      <c r="G113" s="13">
        <v>-0.64917499999999995</v>
      </c>
      <c r="H113" s="13">
        <v>-0.664821</v>
      </c>
      <c r="I113" s="148"/>
      <c r="J113" s="148"/>
      <c r="K113" s="148"/>
      <c r="L113" s="148"/>
      <c r="M113" s="148"/>
    </row>
    <row r="114" spans="1:13" x14ac:dyDescent="0.3">
      <c r="A114" s="148"/>
      <c r="B114" s="148" t="s">
        <v>57</v>
      </c>
      <c r="C114" s="148"/>
      <c r="D114" s="148"/>
      <c r="E114" s="148"/>
      <c r="F114" s="148"/>
      <c r="G114" s="13">
        <v>22.5185</v>
      </c>
      <c r="H114" s="13">
        <v>22.381779999999999</v>
      </c>
      <c r="I114" s="148"/>
      <c r="J114" s="148"/>
      <c r="K114" s="148"/>
      <c r="L114" s="148"/>
      <c r="M114" s="148"/>
    </row>
    <row r="115" spans="1:13" x14ac:dyDescent="0.3">
      <c r="A115" s="148"/>
      <c r="B115" s="148"/>
      <c r="C115" s="148"/>
      <c r="D115" s="148"/>
      <c r="E115" s="148"/>
      <c r="F115" s="148"/>
      <c r="G115" s="13"/>
      <c r="H115" s="13"/>
      <c r="I115" s="148"/>
      <c r="J115" s="148"/>
      <c r="K115" s="148"/>
      <c r="L115" s="148"/>
      <c r="M115" s="148"/>
    </row>
    <row r="116" spans="1:13" x14ac:dyDescent="0.3">
      <c r="A116" s="148" t="s">
        <v>80</v>
      </c>
      <c r="B116" s="148"/>
      <c r="C116" s="148"/>
      <c r="D116" s="148"/>
      <c r="E116" s="148"/>
      <c r="F116" s="148"/>
      <c r="G116" s="130">
        <f>((2.71828183^((G106-2.71828183^(LN(G106)-(G104*(2.71828183^(-G105*LN(D74))))))/100)))</f>
        <v>1.7979731457816281</v>
      </c>
      <c r="H116" s="130">
        <f>((2.71828183^((H106-2.71828183^(LN(H106)-(H104*(2.71828183^(-H105*LN(D74))))))/100)))</f>
        <v>1.7988273858923263</v>
      </c>
      <c r="I116" s="148"/>
      <c r="J116" s="148"/>
      <c r="K116" s="148"/>
      <c r="L116" s="148"/>
      <c r="M116" s="148"/>
    </row>
    <row r="117" spans="1:13" x14ac:dyDescent="0.3">
      <c r="A117" s="148"/>
      <c r="B117" s="148"/>
      <c r="C117" s="148"/>
      <c r="D117" s="148"/>
      <c r="E117" s="148"/>
      <c r="F117" s="148"/>
      <c r="G117" s="13"/>
      <c r="H117" s="13"/>
      <c r="I117" s="148"/>
      <c r="J117" s="148"/>
      <c r="K117" s="148"/>
      <c r="L117" s="148"/>
      <c r="M117" s="148"/>
    </row>
    <row r="118" spans="1:13" x14ac:dyDescent="0.3">
      <c r="A118" s="148"/>
      <c r="B118" s="148"/>
      <c r="C118" s="148"/>
      <c r="D118" s="148" t="s">
        <v>59</v>
      </c>
      <c r="E118" s="148"/>
      <c r="F118" s="148"/>
      <c r="G118" s="130">
        <v>-0.26500000000000001</v>
      </c>
      <c r="H118" s="130">
        <v>-0.26500000000000001</v>
      </c>
      <c r="I118" s="148"/>
      <c r="J118" s="148"/>
      <c r="K118" s="148"/>
      <c r="L118" s="148"/>
      <c r="M118" s="148"/>
    </row>
    <row r="119" spans="1:13" x14ac:dyDescent="0.3">
      <c r="A119" s="148"/>
      <c r="B119" s="148"/>
      <c r="C119" s="148"/>
      <c r="D119" s="148"/>
      <c r="E119" s="148"/>
      <c r="F119" s="148"/>
      <c r="G119" s="13"/>
      <c r="H119" s="13"/>
      <c r="I119" s="148"/>
      <c r="J119" s="148"/>
      <c r="K119" s="148"/>
      <c r="L119" s="148"/>
      <c r="M119" s="148"/>
    </row>
    <row r="120" spans="1:13" x14ac:dyDescent="0.3">
      <c r="A120" s="148"/>
      <c r="B120" s="148"/>
      <c r="C120" s="148"/>
      <c r="D120" s="148" t="s">
        <v>60</v>
      </c>
      <c r="E120" s="148"/>
      <c r="F120" s="148"/>
      <c r="G120" s="130">
        <f>((2.71828183^(LN(G114)-G112*2.71828183^(G113*LN(D74))))^-1)*100</f>
        <v>5.1031287334895561</v>
      </c>
      <c r="H120" s="130">
        <f>((2.71828183^(LN(H114)-H112*2.71828183^(H113*LN(D74))))^-1)*100</f>
        <v>5.306483678809605</v>
      </c>
      <c r="I120" s="148"/>
      <c r="J120" s="148"/>
      <c r="K120" s="148"/>
      <c r="L120" s="148"/>
      <c r="M120" s="148"/>
    </row>
    <row r="121" spans="1:13" x14ac:dyDescent="0.3">
      <c r="A121" s="148"/>
      <c r="B121" s="148"/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48"/>
    </row>
    <row r="122" spans="1:13" x14ac:dyDescent="0.3">
      <c r="A122" s="148"/>
      <c r="B122" s="148"/>
      <c r="C122" s="148"/>
      <c r="D122" s="148"/>
      <c r="E122" s="148"/>
      <c r="F122" s="148"/>
      <c r="G122" s="148"/>
      <c r="H122" s="148"/>
      <c r="I122" s="148"/>
      <c r="J122" s="148"/>
      <c r="K122" s="148"/>
      <c r="L122" s="148"/>
      <c r="M122" s="148"/>
    </row>
    <row r="123" spans="1:13" x14ac:dyDescent="0.3">
      <c r="A123" s="148" t="s">
        <v>82</v>
      </c>
      <c r="B123" s="148"/>
      <c r="C123" s="148"/>
      <c r="D123" s="148"/>
      <c r="E123" s="148"/>
      <c r="F123" s="148"/>
      <c r="G123" s="148"/>
      <c r="H123" s="148"/>
      <c r="I123" s="148"/>
      <c r="J123" s="148"/>
      <c r="K123" s="148"/>
      <c r="L123" s="148"/>
      <c r="M123" s="148"/>
    </row>
    <row r="124" spans="1:13" x14ac:dyDescent="0.3">
      <c r="A124" s="148"/>
      <c r="B124" s="148"/>
      <c r="C124" s="148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</row>
    <row r="125" spans="1:13" x14ac:dyDescent="0.3">
      <c r="A125" s="148"/>
      <c r="B125" s="148"/>
      <c r="C125" s="148"/>
      <c r="D125" s="148"/>
      <c r="E125" s="148"/>
      <c r="F125" s="148"/>
      <c r="G125" s="148"/>
      <c r="H125" s="148"/>
      <c r="I125" s="148"/>
      <c r="J125" s="148"/>
      <c r="K125" s="148"/>
      <c r="L125" s="148"/>
      <c r="M125" s="148"/>
    </row>
    <row r="126" spans="1:13" x14ac:dyDescent="0.3">
      <c r="A126" s="148"/>
      <c r="B126" s="148"/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</row>
    <row r="127" spans="1:13" x14ac:dyDescent="0.3">
      <c r="A127" s="148"/>
      <c r="B127" s="148"/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</row>
    <row r="128" spans="1:13" x14ac:dyDescent="0.3">
      <c r="A128" s="148"/>
      <c r="B128" s="148"/>
      <c r="C128" s="148"/>
      <c r="D128" s="148"/>
      <c r="E128" s="148"/>
      <c r="F128" s="148"/>
      <c r="G128" s="148"/>
      <c r="H128" s="148"/>
      <c r="I128" s="148"/>
      <c r="J128" s="148"/>
      <c r="K128" s="148"/>
      <c r="L128" s="148"/>
      <c r="M128" s="148"/>
    </row>
    <row r="129" spans="1:13" x14ac:dyDescent="0.3">
      <c r="A129" s="148"/>
      <c r="B129" s="148"/>
      <c r="C129" s="148"/>
      <c r="D129" s="148"/>
      <c r="E129" s="148"/>
      <c r="F129" s="148"/>
      <c r="G129" s="148"/>
      <c r="H129" s="148"/>
      <c r="I129" s="148"/>
      <c r="J129" s="148"/>
      <c r="K129" s="148"/>
      <c r="L129" s="148"/>
      <c r="M129" s="148"/>
    </row>
    <row r="130" spans="1:13" x14ac:dyDescent="0.3">
      <c r="A130" s="148"/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</row>
    <row r="131" spans="1:13" x14ac:dyDescent="0.3">
      <c r="A131" s="13" t="s">
        <v>127</v>
      </c>
      <c r="B131" s="269" t="s">
        <v>125</v>
      </c>
      <c r="C131" s="269"/>
      <c r="D131" s="269" t="s">
        <v>126</v>
      </c>
      <c r="E131" s="269"/>
      <c r="F131" s="205" t="s">
        <v>98</v>
      </c>
      <c r="G131" s="13" t="s">
        <v>98</v>
      </c>
      <c r="H131" s="13" t="s">
        <v>133</v>
      </c>
      <c r="I131" s="13" t="s">
        <v>133</v>
      </c>
      <c r="J131" s="206" t="s">
        <v>100</v>
      </c>
      <c r="K131" s="13" t="s">
        <v>101</v>
      </c>
      <c r="L131" s="13" t="s">
        <v>100</v>
      </c>
      <c r="M131" s="13" t="s">
        <v>101</v>
      </c>
    </row>
    <row r="132" spans="1:13" x14ac:dyDescent="0.3">
      <c r="A132" s="13"/>
      <c r="B132" s="13" t="s">
        <v>102</v>
      </c>
      <c r="C132" s="13" t="s">
        <v>103</v>
      </c>
      <c r="D132" s="13" t="s">
        <v>102</v>
      </c>
      <c r="E132" s="13" t="s">
        <v>103</v>
      </c>
      <c r="F132" s="13" t="s">
        <v>99</v>
      </c>
      <c r="G132" s="13" t="s">
        <v>204</v>
      </c>
      <c r="H132" s="13" t="s">
        <v>99</v>
      </c>
      <c r="I132" s="205" t="s">
        <v>120</v>
      </c>
      <c r="J132" s="206" t="s">
        <v>128</v>
      </c>
      <c r="K132" s="205" t="s">
        <v>121</v>
      </c>
      <c r="L132" s="13" t="s">
        <v>122</v>
      </c>
      <c r="M132" s="13" t="s">
        <v>123</v>
      </c>
    </row>
    <row r="133" spans="1:13" x14ac:dyDescent="0.3">
      <c r="A133" s="13">
        <f>'&lt;KLEIN - STICHPROBEN&gt;'!$B$46</f>
        <v>5</v>
      </c>
      <c r="B133" s="13">
        <f>IF((F133)&lt;50,0,(J133*100)/(F133+G133))*-1</f>
        <v>0</v>
      </c>
      <c r="C133" s="13">
        <f>IF((F133)&lt;50,0,(K133*100)/(F133+G133))*-1</f>
        <v>0</v>
      </c>
      <c r="D133" s="13">
        <f>IF(G133&lt;50,0,(L133*100)/(F133+G133))</f>
        <v>0</v>
      </c>
      <c r="E133" s="13">
        <f>IF(G133&lt;50,0,(M133*100)/(F133+G133))</f>
        <v>0</v>
      </c>
      <c r="F133" s="13">
        <f>'&lt;KLEIN - STICHPROBEN&gt;'!$B$42</f>
        <v>2</v>
      </c>
      <c r="G133" s="13">
        <f>'&lt;KLEIN - STICHPROBEN&gt;'!$B$41</f>
        <v>3</v>
      </c>
      <c r="H133" s="13">
        <f>'&lt;KLEIN - STICHPROBEN&gt;'!$B$49</f>
        <v>0</v>
      </c>
      <c r="I133" s="13">
        <f>'&lt;KLEIN - STICHPROBEN&gt;'!$B$48</f>
        <v>0</v>
      </c>
      <c r="J133" s="13">
        <f>(IF(H133=0,0,2.71828183^(((LN(6.401))-(6.412935*2.71828183^(-0.302203*(H133)))))))</f>
        <v>0</v>
      </c>
      <c r="K133" s="207">
        <f>(2.71828183^(((LN(25.162))-(1.823886*2.71828183^(-0.173043*(H133))))))</f>
        <v>4.0610798888559172</v>
      </c>
      <c r="L133" s="13">
        <f>IF(I133=0,0,(2.71828183^(((LN(6.401))-(6.412935*2.71828183^(-0.302203*I133))))))</f>
        <v>0</v>
      </c>
      <c r="M133" s="13">
        <f>(2.71828183^(((LN(25.162))-(1.823886*2.71828183^(-0.173043*I133)))))</f>
        <v>4.0610798888559172</v>
      </c>
    </row>
    <row r="134" spans="1:13" x14ac:dyDescent="0.3">
      <c r="A134" s="13">
        <f>'&lt;KLEIN - STICHPROBEN&gt;'!$C$46</f>
        <v>18</v>
      </c>
      <c r="B134" s="13">
        <f t="shared" ref="B134:B150" si="0">IF((F134)&lt;50,0,(J134*100)/(F134+G134))*-1</f>
        <v>0</v>
      </c>
      <c r="C134" s="13">
        <f t="shared" ref="C134:C150" si="1">IF((F134)&lt;50,0,(K134*100)/(F134+G134))*-1</f>
        <v>0</v>
      </c>
      <c r="D134" s="13">
        <f t="shared" ref="D134:D150" si="2">IF(G134&lt;50,0,(L134*100)/(F134+G134))</f>
        <v>0</v>
      </c>
      <c r="E134" s="13">
        <f t="shared" ref="E134:E150" si="3">IF(G134&lt;50,0,(M134*100)/(F134+G134))</f>
        <v>0</v>
      </c>
      <c r="F134" s="13">
        <f>'&lt;KLEIN - STICHPROBEN&gt;'!$C$42</f>
        <v>8</v>
      </c>
      <c r="G134" s="13">
        <f>'&lt;KLEIN - STICHPROBEN&gt;'!$C$41</f>
        <v>10</v>
      </c>
      <c r="H134" s="13">
        <f>'&lt;KLEIN - STICHPROBEN&gt;'!$C$49</f>
        <v>0</v>
      </c>
      <c r="I134" s="13">
        <f>'&lt;KLEIN - STICHPROBEN&gt;'!$C$48</f>
        <v>0</v>
      </c>
      <c r="J134" s="206">
        <f t="shared" ref="J134:J150" si="4">(IF(H134=0,0,2.71828183^(((LN(6.401))-(6.412935*2.71828183^(-0.302203*(H134)))))))</f>
        <v>0</v>
      </c>
      <c r="K134" s="13">
        <f t="shared" ref="K134:K150" si="5">(2.71828183^(((LN(25.162))-(1.823886*2.71828183^(-0.173043*(H134))))))</f>
        <v>4.0610798888559172</v>
      </c>
      <c r="L134" s="13">
        <f t="shared" ref="L134:L150" si="6">IF(I134=0,0,(2.71828183^(((LN(6.401))-(6.412935*2.71828183^(-0.302203*I134))))))</f>
        <v>0</v>
      </c>
      <c r="M134" s="13">
        <f t="shared" ref="M134:M150" si="7">(2.71828183^(((LN(25.162))-(1.823886*2.71828183^(-0.173043*I134)))))</f>
        <v>4.0610798888559172</v>
      </c>
    </row>
    <row r="135" spans="1:13" x14ac:dyDescent="0.3">
      <c r="A135" s="13">
        <f>'&lt;KLEIN - STICHPROBEN&gt;'!$D$46</f>
        <v>18</v>
      </c>
      <c r="B135" s="13">
        <f t="shared" si="0"/>
        <v>0</v>
      </c>
      <c r="C135" s="13">
        <f t="shared" si="1"/>
        <v>0</v>
      </c>
      <c r="D135" s="13">
        <f t="shared" si="2"/>
        <v>0</v>
      </c>
      <c r="E135" s="13">
        <f t="shared" si="3"/>
        <v>0</v>
      </c>
      <c r="F135" s="13">
        <f>'&lt;KLEIN - STICHPROBEN&gt;'!$D$42</f>
        <v>8</v>
      </c>
      <c r="G135" s="13">
        <f>'&lt;KLEIN - STICHPROBEN&gt;'!$D$41</f>
        <v>10</v>
      </c>
      <c r="H135" s="13">
        <f>'&lt;KLEIN - STICHPROBEN&gt;'!$D$49</f>
        <v>0</v>
      </c>
      <c r="I135" s="13">
        <f>'&lt;KLEIN - STICHPROBEN&gt;'!$D$48</f>
        <v>0</v>
      </c>
      <c r="J135" s="206">
        <f t="shared" si="4"/>
        <v>0</v>
      </c>
      <c r="K135" s="13">
        <f t="shared" si="5"/>
        <v>4.0610798888559172</v>
      </c>
      <c r="L135" s="13">
        <f t="shared" si="6"/>
        <v>0</v>
      </c>
      <c r="M135" s="13">
        <f t="shared" si="7"/>
        <v>4.0610798888559172</v>
      </c>
    </row>
    <row r="136" spans="1:13" x14ac:dyDescent="0.3">
      <c r="A136" s="13">
        <f>'&lt;KLEIN - STICHPROBEN&gt;'!$E$46</f>
        <v>18</v>
      </c>
      <c r="B136" s="13">
        <f t="shared" si="0"/>
        <v>0</v>
      </c>
      <c r="C136" s="13">
        <f t="shared" si="1"/>
        <v>0</v>
      </c>
      <c r="D136" s="13">
        <f t="shared" si="2"/>
        <v>0</v>
      </c>
      <c r="E136" s="13">
        <f t="shared" si="3"/>
        <v>0</v>
      </c>
      <c r="F136" s="13">
        <f>'&lt;KLEIN - STICHPROBEN&gt;'!$E$42</f>
        <v>8</v>
      </c>
      <c r="G136" s="13">
        <f>'&lt;KLEIN - STICHPROBEN&gt;'!$E$41</f>
        <v>10</v>
      </c>
      <c r="H136" s="13">
        <f>'&lt;KLEIN - STICHPROBEN&gt;'!$E$49</f>
        <v>0</v>
      </c>
      <c r="I136" s="13">
        <f>'&lt;KLEIN - STICHPROBEN&gt;'!$E$48</f>
        <v>0</v>
      </c>
      <c r="J136" s="206">
        <f t="shared" si="4"/>
        <v>0</v>
      </c>
      <c r="K136" s="13">
        <f t="shared" si="5"/>
        <v>4.0610798888559172</v>
      </c>
      <c r="L136" s="13">
        <f t="shared" si="6"/>
        <v>0</v>
      </c>
      <c r="M136" s="13">
        <f t="shared" si="7"/>
        <v>4.0610798888559172</v>
      </c>
    </row>
    <row r="137" spans="1:13" x14ac:dyDescent="0.3">
      <c r="A137" s="13">
        <f>'&lt;KLEIN - STICHPROBEN&gt;'!$F$46</f>
        <v>18</v>
      </c>
      <c r="B137" s="13">
        <f t="shared" si="0"/>
        <v>0</v>
      </c>
      <c r="C137" s="13">
        <f t="shared" si="1"/>
        <v>0</v>
      </c>
      <c r="D137" s="13">
        <f t="shared" si="2"/>
        <v>0</v>
      </c>
      <c r="E137" s="13">
        <f t="shared" si="3"/>
        <v>0</v>
      </c>
      <c r="F137" s="13">
        <f>'&lt;KLEIN - STICHPROBEN&gt;'!$F$42</f>
        <v>8</v>
      </c>
      <c r="G137" s="13">
        <f>'&lt;KLEIN - STICHPROBEN&gt;'!$F$41</f>
        <v>10</v>
      </c>
      <c r="H137" s="13">
        <f>'&lt;KLEIN - STICHPROBEN&gt;'!$F$49</f>
        <v>0</v>
      </c>
      <c r="I137" s="13">
        <f>'&lt;KLEIN - STICHPROBEN&gt;'!$F$48</f>
        <v>0</v>
      </c>
      <c r="J137" s="206">
        <f t="shared" si="4"/>
        <v>0</v>
      </c>
      <c r="K137" s="13">
        <f t="shared" si="5"/>
        <v>4.0610798888559172</v>
      </c>
      <c r="L137" s="13">
        <f t="shared" si="6"/>
        <v>0</v>
      </c>
      <c r="M137" s="13">
        <f t="shared" si="7"/>
        <v>4.0610798888559172</v>
      </c>
    </row>
    <row r="138" spans="1:13" x14ac:dyDescent="0.3">
      <c r="A138" s="13">
        <f>'&lt;KLEIN - STICHPROBEN&gt;'!$G$46</f>
        <v>18</v>
      </c>
      <c r="B138" s="13">
        <f t="shared" si="0"/>
        <v>0</v>
      </c>
      <c r="C138" s="13">
        <f t="shared" si="1"/>
        <v>0</v>
      </c>
      <c r="D138" s="13">
        <f t="shared" si="2"/>
        <v>0</v>
      </c>
      <c r="E138" s="13">
        <f t="shared" si="3"/>
        <v>0</v>
      </c>
      <c r="F138" s="13">
        <f>'&lt;KLEIN - STICHPROBEN&gt;'!$G$42</f>
        <v>8</v>
      </c>
      <c r="G138" s="13">
        <f>'&lt;KLEIN - STICHPROBEN&gt;'!$G$41</f>
        <v>10</v>
      </c>
      <c r="H138" s="13">
        <f>'&lt;KLEIN - STICHPROBEN&gt;'!$G$49</f>
        <v>0</v>
      </c>
      <c r="I138" s="13">
        <f>'&lt;KLEIN - STICHPROBEN&gt;'!$G$48</f>
        <v>0</v>
      </c>
      <c r="J138" s="206">
        <f t="shared" si="4"/>
        <v>0</v>
      </c>
      <c r="K138" s="13">
        <f t="shared" si="5"/>
        <v>4.0610798888559172</v>
      </c>
      <c r="L138" s="13">
        <f t="shared" si="6"/>
        <v>0</v>
      </c>
      <c r="M138" s="13">
        <f t="shared" si="7"/>
        <v>4.0610798888559172</v>
      </c>
    </row>
    <row r="139" spans="1:13" x14ac:dyDescent="0.3">
      <c r="A139" s="13">
        <f>'&lt;KLEIN - STICHPROBEN&gt;'!$H$46</f>
        <v>18</v>
      </c>
      <c r="B139" s="13">
        <f t="shared" si="0"/>
        <v>0</v>
      </c>
      <c r="C139" s="13">
        <f t="shared" si="1"/>
        <v>0</v>
      </c>
      <c r="D139" s="13">
        <f t="shared" si="2"/>
        <v>0</v>
      </c>
      <c r="E139" s="13">
        <f t="shared" si="3"/>
        <v>0</v>
      </c>
      <c r="F139" s="13">
        <f>'&lt;KLEIN - STICHPROBEN&gt;'!$H$42</f>
        <v>8</v>
      </c>
      <c r="G139" s="13">
        <f>'&lt;KLEIN - STICHPROBEN&gt;'!$H$41</f>
        <v>10</v>
      </c>
      <c r="H139" s="13">
        <f>'&lt;KLEIN - STICHPROBEN&gt;'!$H$49</f>
        <v>0</v>
      </c>
      <c r="I139" s="13">
        <f>'&lt;KLEIN - STICHPROBEN&gt;'!$H$48</f>
        <v>0</v>
      </c>
      <c r="J139" s="206">
        <f t="shared" si="4"/>
        <v>0</v>
      </c>
      <c r="K139" s="13">
        <f t="shared" si="5"/>
        <v>4.0610798888559172</v>
      </c>
      <c r="L139" s="13">
        <f t="shared" si="6"/>
        <v>0</v>
      </c>
      <c r="M139" s="13">
        <f t="shared" si="7"/>
        <v>4.0610798888559172</v>
      </c>
    </row>
    <row r="140" spans="1:13" x14ac:dyDescent="0.3">
      <c r="A140" s="13">
        <f>'&lt;KLEIN - STICHPROBEN&gt;'!$I$46</f>
        <v>18</v>
      </c>
      <c r="B140" s="13">
        <f t="shared" si="0"/>
        <v>0</v>
      </c>
      <c r="C140" s="13">
        <f t="shared" si="1"/>
        <v>0</v>
      </c>
      <c r="D140" s="13">
        <f t="shared" si="2"/>
        <v>0</v>
      </c>
      <c r="E140" s="13">
        <f t="shared" si="3"/>
        <v>0</v>
      </c>
      <c r="F140" s="13">
        <f>'&lt;KLEIN - STICHPROBEN&gt;'!$I$42</f>
        <v>8</v>
      </c>
      <c r="G140" s="13">
        <f>'&lt;KLEIN - STICHPROBEN&gt;'!$I$41</f>
        <v>10</v>
      </c>
      <c r="H140" s="13">
        <f>'&lt;KLEIN - STICHPROBEN&gt;'!$I$49</f>
        <v>0</v>
      </c>
      <c r="I140" s="13">
        <f>'&lt;KLEIN - STICHPROBEN&gt;'!$I$48</f>
        <v>0</v>
      </c>
      <c r="J140" s="206">
        <f t="shared" si="4"/>
        <v>0</v>
      </c>
      <c r="K140" s="13">
        <f t="shared" si="5"/>
        <v>4.0610798888559172</v>
      </c>
      <c r="L140" s="13">
        <f t="shared" si="6"/>
        <v>0</v>
      </c>
      <c r="M140" s="13">
        <f t="shared" si="7"/>
        <v>4.0610798888559172</v>
      </c>
    </row>
    <row r="141" spans="1:13" x14ac:dyDescent="0.3">
      <c r="A141" s="13">
        <f>'&lt;KLEIN - STICHPROBEN&gt;'!$J$46</f>
        <v>18</v>
      </c>
      <c r="B141" s="13">
        <f t="shared" si="0"/>
        <v>0</v>
      </c>
      <c r="C141" s="13">
        <f t="shared" si="1"/>
        <v>0</v>
      </c>
      <c r="D141" s="13">
        <f t="shared" si="2"/>
        <v>0</v>
      </c>
      <c r="E141" s="13">
        <f t="shared" si="3"/>
        <v>0</v>
      </c>
      <c r="F141" s="13">
        <f>'&lt;KLEIN - STICHPROBEN&gt;'!$J$42</f>
        <v>8</v>
      </c>
      <c r="G141" s="13">
        <f>'&lt;KLEIN - STICHPROBEN&gt;'!$J$41</f>
        <v>10</v>
      </c>
      <c r="H141" s="13">
        <f>'&lt;KLEIN - STICHPROBEN&gt;'!$J$49</f>
        <v>0</v>
      </c>
      <c r="I141" s="13">
        <f>'&lt;KLEIN - STICHPROBEN&gt;'!$J$48</f>
        <v>0</v>
      </c>
      <c r="J141" s="13">
        <f t="shared" si="4"/>
        <v>0</v>
      </c>
      <c r="K141" s="13">
        <f t="shared" si="5"/>
        <v>4.0610798888559172</v>
      </c>
      <c r="L141" s="13">
        <f t="shared" si="6"/>
        <v>0</v>
      </c>
      <c r="M141" s="13">
        <f t="shared" si="7"/>
        <v>4.0610798888559172</v>
      </c>
    </row>
    <row r="142" spans="1:13" x14ac:dyDescent="0.3">
      <c r="A142" s="13">
        <f>'&lt;KLEIN - STICHPROBEN&gt;'!$K$46</f>
        <v>18</v>
      </c>
      <c r="B142" s="13">
        <f t="shared" si="0"/>
        <v>0</v>
      </c>
      <c r="C142" s="13">
        <f t="shared" si="1"/>
        <v>0</v>
      </c>
      <c r="D142" s="13">
        <f t="shared" si="2"/>
        <v>0</v>
      </c>
      <c r="E142" s="13">
        <f t="shared" si="3"/>
        <v>0</v>
      </c>
      <c r="F142" s="13">
        <f>'&lt;KLEIN - STICHPROBEN&gt;'!$K$42</f>
        <v>8</v>
      </c>
      <c r="G142" s="13">
        <f>'&lt;KLEIN - STICHPROBEN&gt;'!$K$41</f>
        <v>10</v>
      </c>
      <c r="H142" s="13">
        <f>'&lt;KLEIN - STICHPROBEN&gt;'!$K$49</f>
        <v>0</v>
      </c>
      <c r="I142" s="13">
        <f>'&lt;KLEIN - STICHPROBEN&gt;'!$K$48</f>
        <v>0</v>
      </c>
      <c r="J142" s="13">
        <f t="shared" si="4"/>
        <v>0</v>
      </c>
      <c r="K142" s="13">
        <f t="shared" si="5"/>
        <v>4.0610798888559172</v>
      </c>
      <c r="L142" s="13">
        <f t="shared" si="6"/>
        <v>0</v>
      </c>
      <c r="M142" s="13">
        <f t="shared" si="7"/>
        <v>4.0610798888559172</v>
      </c>
    </row>
    <row r="143" spans="1:13" x14ac:dyDescent="0.3">
      <c r="A143" s="13">
        <f>'&lt;KLEIN - STICHPROBEN&gt;'!$L$46</f>
        <v>18</v>
      </c>
      <c r="B143" s="13">
        <f t="shared" si="0"/>
        <v>0</v>
      </c>
      <c r="C143" s="13">
        <f t="shared" si="1"/>
        <v>0</v>
      </c>
      <c r="D143" s="13">
        <f t="shared" si="2"/>
        <v>0</v>
      </c>
      <c r="E143" s="13">
        <f t="shared" si="3"/>
        <v>0</v>
      </c>
      <c r="F143" s="13">
        <f>'&lt;KLEIN - STICHPROBEN&gt;'!$L$42</f>
        <v>8</v>
      </c>
      <c r="G143" s="13">
        <f>'&lt;KLEIN - STICHPROBEN&gt;'!$L$41</f>
        <v>10</v>
      </c>
      <c r="H143" s="13">
        <f>'&lt;KLEIN - STICHPROBEN&gt;'!$L$49</f>
        <v>0</v>
      </c>
      <c r="I143" s="13">
        <f>'&lt;KLEIN - STICHPROBEN&gt;'!$L$48</f>
        <v>0</v>
      </c>
      <c r="J143" s="13">
        <f t="shared" si="4"/>
        <v>0</v>
      </c>
      <c r="K143" s="13">
        <f t="shared" si="5"/>
        <v>4.0610798888559172</v>
      </c>
      <c r="L143" s="13">
        <f t="shared" si="6"/>
        <v>0</v>
      </c>
      <c r="M143" s="13">
        <f t="shared" si="7"/>
        <v>4.0610798888559172</v>
      </c>
    </row>
    <row r="144" spans="1:13" x14ac:dyDescent="0.3">
      <c r="A144" s="13">
        <f>'&lt;KLEIN - STICHPROBEN&gt;'!$M$46</f>
        <v>18</v>
      </c>
      <c r="B144" s="13">
        <f t="shared" si="0"/>
        <v>0</v>
      </c>
      <c r="C144" s="13">
        <f t="shared" si="1"/>
        <v>0</v>
      </c>
      <c r="D144" s="13">
        <f t="shared" si="2"/>
        <v>0</v>
      </c>
      <c r="E144" s="13">
        <f t="shared" si="3"/>
        <v>0</v>
      </c>
      <c r="F144" s="13">
        <f>'&lt;KLEIN - STICHPROBEN&gt;'!$M$42</f>
        <v>8</v>
      </c>
      <c r="G144" s="13">
        <f>'&lt;KLEIN - STICHPROBEN&gt;'!$M$41</f>
        <v>10</v>
      </c>
      <c r="H144" s="13">
        <f>'&lt;KLEIN - STICHPROBEN&gt;'!$M$49</f>
        <v>0</v>
      </c>
      <c r="I144" s="13">
        <f>'&lt;KLEIN - STICHPROBEN&gt;'!$M$48</f>
        <v>0</v>
      </c>
      <c r="J144" s="13">
        <f t="shared" si="4"/>
        <v>0</v>
      </c>
      <c r="K144" s="13">
        <f t="shared" si="5"/>
        <v>4.0610798888559172</v>
      </c>
      <c r="L144" s="13">
        <f t="shared" si="6"/>
        <v>0</v>
      </c>
      <c r="M144" s="13">
        <f t="shared" si="7"/>
        <v>4.0610798888559172</v>
      </c>
    </row>
    <row r="145" spans="1:13" x14ac:dyDescent="0.3">
      <c r="A145" s="13">
        <f>'&lt;KLEIN - STICHPROBEN&gt;'!$N$46</f>
        <v>18</v>
      </c>
      <c r="B145" s="13">
        <f t="shared" si="0"/>
        <v>0</v>
      </c>
      <c r="C145" s="13">
        <f t="shared" si="1"/>
        <v>0</v>
      </c>
      <c r="D145" s="13">
        <f t="shared" si="2"/>
        <v>0</v>
      </c>
      <c r="E145" s="13">
        <f t="shared" si="3"/>
        <v>0</v>
      </c>
      <c r="F145" s="13">
        <f>'&lt;KLEIN - STICHPROBEN&gt;'!$N$42</f>
        <v>8</v>
      </c>
      <c r="G145" s="13">
        <f>'&lt;KLEIN - STICHPROBEN&gt;'!$N$41</f>
        <v>10</v>
      </c>
      <c r="H145" s="13">
        <f>'&lt;KLEIN - STICHPROBEN&gt;'!$N$49</f>
        <v>0</v>
      </c>
      <c r="I145" s="13">
        <f>'&lt;KLEIN - STICHPROBEN&gt;'!$N$48</f>
        <v>0</v>
      </c>
      <c r="J145" s="13">
        <f t="shared" si="4"/>
        <v>0</v>
      </c>
      <c r="K145" s="13">
        <f t="shared" si="5"/>
        <v>4.0610798888559172</v>
      </c>
      <c r="L145" s="13">
        <f t="shared" si="6"/>
        <v>0</v>
      </c>
      <c r="M145" s="13">
        <f t="shared" si="7"/>
        <v>4.0610798888559172</v>
      </c>
    </row>
    <row r="146" spans="1:13" x14ac:dyDescent="0.3">
      <c r="A146" s="13">
        <f>'&lt;KLEIN - STICHPROBEN&gt;'!$O$46</f>
        <v>18</v>
      </c>
      <c r="B146" s="13">
        <f t="shared" si="0"/>
        <v>0</v>
      </c>
      <c r="C146" s="13">
        <f t="shared" si="1"/>
        <v>0</v>
      </c>
      <c r="D146" s="13">
        <f t="shared" si="2"/>
        <v>0</v>
      </c>
      <c r="E146" s="13">
        <f t="shared" si="3"/>
        <v>0</v>
      </c>
      <c r="F146" s="13">
        <f>'&lt;KLEIN - STICHPROBEN&gt;'!$O$42</f>
        <v>8</v>
      </c>
      <c r="G146" s="13">
        <f>'&lt;KLEIN - STICHPROBEN&gt;'!$O$41</f>
        <v>10</v>
      </c>
      <c r="H146" s="13">
        <f>'&lt;KLEIN - STICHPROBEN&gt;'!$O$49</f>
        <v>0</v>
      </c>
      <c r="I146" s="13">
        <f>'&lt;KLEIN - STICHPROBEN&gt;'!$O$48</f>
        <v>0</v>
      </c>
      <c r="J146" s="13">
        <f t="shared" si="4"/>
        <v>0</v>
      </c>
      <c r="K146" s="13">
        <f t="shared" si="5"/>
        <v>4.0610798888559172</v>
      </c>
      <c r="L146" s="13">
        <f t="shared" si="6"/>
        <v>0</v>
      </c>
      <c r="M146" s="13">
        <f t="shared" si="7"/>
        <v>4.0610798888559172</v>
      </c>
    </row>
    <row r="147" spans="1:13" x14ac:dyDescent="0.3">
      <c r="A147" s="13">
        <f>'&lt;KLEIN - STICHPROBEN&gt;'!$P$46</f>
        <v>18</v>
      </c>
      <c r="B147" s="13">
        <f t="shared" si="0"/>
        <v>0</v>
      </c>
      <c r="C147" s="13">
        <f t="shared" si="1"/>
        <v>0</v>
      </c>
      <c r="D147" s="13">
        <f t="shared" si="2"/>
        <v>0</v>
      </c>
      <c r="E147" s="13">
        <f t="shared" si="3"/>
        <v>0</v>
      </c>
      <c r="F147" s="13">
        <f>'&lt;KLEIN - STICHPROBEN&gt;'!$P$42</f>
        <v>8</v>
      </c>
      <c r="G147" s="13">
        <f>'&lt;KLEIN - STICHPROBEN&gt;'!$P$41</f>
        <v>10</v>
      </c>
      <c r="H147" s="13">
        <f>'&lt;KLEIN - STICHPROBEN&gt;'!$P$49</f>
        <v>0</v>
      </c>
      <c r="I147" s="13">
        <f>'&lt;KLEIN - STICHPROBEN&gt;'!$P$48</f>
        <v>0</v>
      </c>
      <c r="J147" s="13">
        <f t="shared" si="4"/>
        <v>0</v>
      </c>
      <c r="K147" s="13">
        <f t="shared" si="5"/>
        <v>4.0610798888559172</v>
      </c>
      <c r="L147" s="13">
        <f t="shared" si="6"/>
        <v>0</v>
      </c>
      <c r="M147" s="13">
        <f t="shared" si="7"/>
        <v>4.0610798888559172</v>
      </c>
    </row>
    <row r="148" spans="1:13" x14ac:dyDescent="0.3">
      <c r="A148" s="13">
        <f>'&lt;KLEIN - STICHPROBEN&gt;'!$Q$46</f>
        <v>18</v>
      </c>
      <c r="B148" s="13">
        <f t="shared" si="0"/>
        <v>0</v>
      </c>
      <c r="C148" s="13">
        <f t="shared" si="1"/>
        <v>0</v>
      </c>
      <c r="D148" s="13">
        <f t="shared" si="2"/>
        <v>0</v>
      </c>
      <c r="E148" s="13">
        <f t="shared" si="3"/>
        <v>0</v>
      </c>
      <c r="F148" s="13">
        <f>'&lt;KLEIN - STICHPROBEN&gt;'!$Q$42</f>
        <v>8</v>
      </c>
      <c r="G148" s="13">
        <f>'&lt;KLEIN - STICHPROBEN&gt;'!$Q$41</f>
        <v>10</v>
      </c>
      <c r="H148" s="13">
        <f>'&lt;KLEIN - STICHPROBEN&gt;'!$Q$49</f>
        <v>0</v>
      </c>
      <c r="I148" s="13">
        <f>'&lt;KLEIN - STICHPROBEN&gt;'!$Q$48</f>
        <v>0</v>
      </c>
      <c r="J148" s="13">
        <f t="shared" si="4"/>
        <v>0</v>
      </c>
      <c r="K148" s="13">
        <f t="shared" si="5"/>
        <v>4.0610798888559172</v>
      </c>
      <c r="L148" s="13">
        <f t="shared" si="6"/>
        <v>0</v>
      </c>
      <c r="M148" s="13">
        <f t="shared" si="7"/>
        <v>4.0610798888559172</v>
      </c>
    </row>
    <row r="149" spans="1:13" x14ac:dyDescent="0.3">
      <c r="A149" s="13">
        <f>'&lt;KLEIN - STICHPROBEN&gt;'!$R$46</f>
        <v>18</v>
      </c>
      <c r="B149" s="13">
        <f t="shared" si="0"/>
        <v>0</v>
      </c>
      <c r="C149" s="13">
        <f t="shared" si="1"/>
        <v>0</v>
      </c>
      <c r="D149" s="13">
        <f t="shared" si="2"/>
        <v>0</v>
      </c>
      <c r="E149" s="13">
        <f t="shared" si="3"/>
        <v>0</v>
      </c>
      <c r="F149" s="13">
        <f>'&lt;KLEIN - STICHPROBEN&gt;'!$R$42</f>
        <v>8</v>
      </c>
      <c r="G149" s="13">
        <f>'&lt;KLEIN - STICHPROBEN&gt;'!$R$41</f>
        <v>10</v>
      </c>
      <c r="H149" s="13">
        <f>'&lt;KLEIN - STICHPROBEN&gt;'!$R$49</f>
        <v>0</v>
      </c>
      <c r="I149" s="13">
        <f>'&lt;KLEIN - STICHPROBEN&gt;'!$R$48</f>
        <v>0</v>
      </c>
      <c r="J149" s="13">
        <f t="shared" si="4"/>
        <v>0</v>
      </c>
      <c r="K149" s="13">
        <f t="shared" si="5"/>
        <v>4.0610798888559172</v>
      </c>
      <c r="L149" s="13">
        <f t="shared" si="6"/>
        <v>0</v>
      </c>
      <c r="M149" s="13">
        <f t="shared" si="7"/>
        <v>4.0610798888559172</v>
      </c>
    </row>
    <row r="150" spans="1:13" x14ac:dyDescent="0.3">
      <c r="A150" s="13">
        <f>'&lt;KLEIN - STICHPROBEN&gt;'!$S$46</f>
        <v>18</v>
      </c>
      <c r="B150" s="13">
        <f t="shared" si="0"/>
        <v>0</v>
      </c>
      <c r="C150" s="13">
        <f t="shared" si="1"/>
        <v>0</v>
      </c>
      <c r="D150" s="13">
        <f t="shared" si="2"/>
        <v>0</v>
      </c>
      <c r="E150" s="13">
        <f t="shared" si="3"/>
        <v>0</v>
      </c>
      <c r="F150" s="13">
        <f>'&lt;KLEIN - STICHPROBEN&gt;'!$S$42</f>
        <v>8</v>
      </c>
      <c r="G150" s="13">
        <f>'&lt;KLEIN - STICHPROBEN&gt;'!$S$41</f>
        <v>10</v>
      </c>
      <c r="H150" s="13">
        <f>'&lt;KLEIN - STICHPROBEN&gt;'!$S$49</f>
        <v>0</v>
      </c>
      <c r="I150" s="13">
        <f>'&lt;KLEIN - STICHPROBEN&gt;'!$S$48</f>
        <v>0</v>
      </c>
      <c r="J150" s="13">
        <f t="shared" si="4"/>
        <v>0</v>
      </c>
      <c r="K150" s="13">
        <f t="shared" si="5"/>
        <v>4.0610798888559172</v>
      </c>
      <c r="L150" s="13">
        <f t="shared" si="6"/>
        <v>0</v>
      </c>
      <c r="M150" s="13">
        <f t="shared" si="7"/>
        <v>4.0610798888559172</v>
      </c>
    </row>
    <row r="151" spans="1:13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48"/>
      <c r="M151" s="148"/>
    </row>
    <row r="152" spans="1:13" x14ac:dyDescent="0.3">
      <c r="A152" s="62"/>
      <c r="B152" s="62"/>
      <c r="C152" s="62"/>
      <c r="D152" s="62"/>
      <c r="E152" s="62"/>
      <c r="F152" s="62"/>
      <c r="G152" s="62"/>
      <c r="H152" s="62"/>
      <c r="I152" s="62"/>
      <c r="J152" s="13"/>
      <c r="K152" s="13"/>
      <c r="L152" s="148"/>
      <c r="M152" s="148"/>
    </row>
    <row r="153" spans="1:13" x14ac:dyDescent="0.3">
      <c r="A153"/>
      <c r="B153"/>
      <c r="C153"/>
      <c r="D153"/>
      <c r="E153"/>
      <c r="F153"/>
      <c r="G153"/>
      <c r="H153"/>
      <c r="I153"/>
    </row>
    <row r="154" spans="1:13" x14ac:dyDescent="0.3">
      <c r="A154"/>
      <c r="B154"/>
      <c r="C154"/>
      <c r="D154"/>
      <c r="E154"/>
      <c r="F154"/>
      <c r="G154"/>
      <c r="H154"/>
      <c r="I154"/>
    </row>
    <row r="155" spans="1:13" x14ac:dyDescent="0.3">
      <c r="A155"/>
      <c r="B155"/>
      <c r="C155"/>
      <c r="D155"/>
      <c r="E155"/>
      <c r="F155"/>
      <c r="G155"/>
      <c r="H155"/>
      <c r="I155"/>
    </row>
    <row r="156" spans="1:13" x14ac:dyDescent="0.3">
      <c r="A156"/>
      <c r="B156"/>
      <c r="C156"/>
      <c r="D156"/>
      <c r="E156"/>
      <c r="F156"/>
      <c r="G156"/>
      <c r="H156"/>
      <c r="I156"/>
    </row>
    <row r="157" spans="1:13" x14ac:dyDescent="0.3">
      <c r="A157"/>
      <c r="B157"/>
      <c r="C157"/>
      <c r="D157"/>
      <c r="E157"/>
      <c r="F157"/>
      <c r="G157"/>
      <c r="H157"/>
      <c r="I157"/>
    </row>
    <row r="158" spans="1:13" x14ac:dyDescent="0.3">
      <c r="A158"/>
      <c r="B158"/>
      <c r="C158"/>
      <c r="D158"/>
      <c r="E158"/>
      <c r="F158"/>
      <c r="G158"/>
      <c r="H158"/>
      <c r="I158"/>
    </row>
    <row r="159" spans="1:13" x14ac:dyDescent="0.3">
      <c r="A159"/>
      <c r="B159"/>
      <c r="C159"/>
      <c r="D159"/>
      <c r="E159"/>
      <c r="F159"/>
      <c r="G159"/>
      <c r="H159"/>
      <c r="I159"/>
    </row>
    <row r="160" spans="1:13" x14ac:dyDescent="0.3">
      <c r="A160"/>
      <c r="B160"/>
      <c r="C160"/>
      <c r="D160"/>
      <c r="E160"/>
      <c r="F160"/>
      <c r="G160"/>
      <c r="H160"/>
      <c r="I160"/>
    </row>
    <row r="161" spans="1:9" x14ac:dyDescent="0.3">
      <c r="A161"/>
      <c r="B161"/>
      <c r="C161"/>
      <c r="D161"/>
      <c r="E161"/>
      <c r="F161"/>
      <c r="G161"/>
      <c r="H161"/>
      <c r="I161"/>
    </row>
    <row r="162" spans="1:9" x14ac:dyDescent="0.3">
      <c r="A162"/>
      <c r="B162"/>
      <c r="C162"/>
      <c r="D162"/>
      <c r="E162"/>
      <c r="F162"/>
      <c r="G162"/>
      <c r="H162"/>
      <c r="I162"/>
    </row>
    <row r="163" spans="1:9" x14ac:dyDescent="0.3">
      <c r="A163"/>
      <c r="B163"/>
      <c r="C163"/>
      <c r="D163"/>
      <c r="E163"/>
      <c r="F163"/>
      <c r="G163"/>
      <c r="H163"/>
      <c r="I163"/>
    </row>
    <row r="164" spans="1:9" x14ac:dyDescent="0.3">
      <c r="A164"/>
      <c r="B164"/>
      <c r="C164"/>
      <c r="D164"/>
      <c r="E164"/>
      <c r="F164"/>
      <c r="G164"/>
      <c r="H164"/>
      <c r="I164"/>
    </row>
    <row r="165" spans="1:9" x14ac:dyDescent="0.3">
      <c r="A165"/>
      <c r="B165"/>
      <c r="C165"/>
      <c r="D165"/>
      <c r="E165"/>
      <c r="F165"/>
      <c r="G165"/>
      <c r="H165"/>
      <c r="I165"/>
    </row>
    <row r="166" spans="1:9" x14ac:dyDescent="0.3">
      <c r="A166"/>
      <c r="B166"/>
      <c r="C166"/>
      <c r="D166"/>
      <c r="E166"/>
      <c r="F166"/>
      <c r="G166"/>
      <c r="H166"/>
      <c r="I166"/>
    </row>
    <row r="167" spans="1:9" x14ac:dyDescent="0.3">
      <c r="A167"/>
      <c r="B167"/>
      <c r="C167"/>
      <c r="D167"/>
      <c r="E167"/>
      <c r="F167"/>
      <c r="G167"/>
      <c r="H167"/>
      <c r="I167"/>
    </row>
    <row r="168" spans="1:9" x14ac:dyDescent="0.3">
      <c r="A168"/>
      <c r="B168"/>
      <c r="C168"/>
      <c r="D168"/>
      <c r="E168"/>
      <c r="F168"/>
      <c r="G168"/>
      <c r="H168"/>
      <c r="I168"/>
    </row>
    <row r="169" spans="1:9" x14ac:dyDescent="0.3">
      <c r="A169"/>
      <c r="B169"/>
      <c r="C169"/>
      <c r="D169"/>
      <c r="E169"/>
      <c r="F169"/>
      <c r="G169"/>
      <c r="H169"/>
      <c r="I169"/>
    </row>
    <row r="170" spans="1:9" x14ac:dyDescent="0.3">
      <c r="A170"/>
      <c r="B170"/>
      <c r="C170"/>
      <c r="D170"/>
      <c r="E170"/>
      <c r="F170"/>
      <c r="G170"/>
      <c r="H170"/>
      <c r="I170"/>
    </row>
    <row r="171" spans="1:9" x14ac:dyDescent="0.3">
      <c r="A171"/>
      <c r="B171"/>
      <c r="C171"/>
      <c r="D171"/>
      <c r="E171"/>
      <c r="F171"/>
      <c r="G171"/>
      <c r="H171"/>
      <c r="I171"/>
    </row>
    <row r="172" spans="1:9" x14ac:dyDescent="0.3">
      <c r="A172"/>
      <c r="B172"/>
      <c r="C172"/>
      <c r="D172"/>
      <c r="E172"/>
      <c r="F172"/>
      <c r="G172"/>
      <c r="H172"/>
      <c r="I172"/>
    </row>
    <row r="173" spans="1:9" x14ac:dyDescent="0.3">
      <c r="A173"/>
      <c r="B173"/>
      <c r="C173"/>
      <c r="D173"/>
      <c r="E173"/>
      <c r="F173"/>
      <c r="G173"/>
      <c r="H173"/>
      <c r="I173"/>
    </row>
    <row r="174" spans="1:9" x14ac:dyDescent="0.3">
      <c r="A174" s="210" t="s">
        <v>176</v>
      </c>
      <c r="B174"/>
      <c r="C174"/>
      <c r="D174"/>
      <c r="E174"/>
      <c r="F174"/>
      <c r="G174" s="211"/>
      <c r="H174" s="212"/>
      <c r="I174" s="210"/>
    </row>
    <row r="175" spans="1:9" x14ac:dyDescent="0.3">
      <c r="A175" s="210" t="s">
        <v>132</v>
      </c>
      <c r="B175"/>
      <c r="C175"/>
      <c r="D175"/>
      <c r="E175"/>
      <c r="F175" s="213" t="s">
        <v>129</v>
      </c>
      <c r="G175" s="212">
        <f>'&lt;BENENNUNG&gt; SERIENSUMME'!$L$31</f>
        <v>5</v>
      </c>
      <c r="H175" s="213" t="s">
        <v>130</v>
      </c>
      <c r="I175" s="212">
        <f>'&lt;BENENNUNG&gt; SERIENSUMME'!$L$30</f>
        <v>5</v>
      </c>
    </row>
    <row r="176" spans="1:9" x14ac:dyDescent="0.3">
      <c r="A176"/>
      <c r="B176"/>
      <c r="C176"/>
      <c r="D176"/>
      <c r="E176"/>
      <c r="F176"/>
      <c r="G176"/>
      <c r="H176"/>
      <c r="I176"/>
    </row>
    <row r="177" spans="1:9" x14ac:dyDescent="0.3">
      <c r="A177" s="210" t="s">
        <v>131</v>
      </c>
      <c r="B177" t="s">
        <v>197</v>
      </c>
      <c r="C177"/>
      <c r="D177"/>
      <c r="E177"/>
      <c r="F177"/>
      <c r="G177"/>
      <c r="H177"/>
      <c r="I177"/>
    </row>
    <row r="178" spans="1:9" x14ac:dyDescent="0.3">
      <c r="A178"/>
      <c r="B178" t="s">
        <v>196</v>
      </c>
      <c r="C178"/>
      <c r="D178"/>
      <c r="E178"/>
      <c r="F178"/>
      <c r="G178"/>
      <c r="H178"/>
      <c r="I178"/>
    </row>
    <row r="179" spans="1:9" x14ac:dyDescent="0.3">
      <c r="A179"/>
      <c r="B179" t="s">
        <v>187</v>
      </c>
      <c r="C179"/>
      <c r="D179"/>
      <c r="E179"/>
      <c r="F179"/>
      <c r="G179"/>
      <c r="H179"/>
      <c r="I179"/>
    </row>
    <row r="180" spans="1:9" x14ac:dyDescent="0.3">
      <c r="A180"/>
      <c r="B180" t="s">
        <v>188</v>
      </c>
      <c r="C180"/>
      <c r="D180"/>
      <c r="E180"/>
      <c r="F180"/>
      <c r="G180"/>
      <c r="H180"/>
      <c r="I180"/>
    </row>
    <row r="181" spans="1:9" x14ac:dyDescent="0.3">
      <c r="A181"/>
      <c r="B181" t="s">
        <v>189</v>
      </c>
      <c r="C181"/>
      <c r="D181"/>
      <c r="E181"/>
      <c r="F181"/>
      <c r="G181"/>
      <c r="H181" t="s">
        <v>190</v>
      </c>
      <c r="I181"/>
    </row>
    <row r="182" spans="1:9" x14ac:dyDescent="0.3">
      <c r="A182"/>
      <c r="B182" t="s">
        <v>198</v>
      </c>
      <c r="C182"/>
      <c r="D182"/>
      <c r="E182"/>
      <c r="F182"/>
      <c r="G182"/>
      <c r="H182"/>
      <c r="I182"/>
    </row>
    <row r="183" spans="1:9" x14ac:dyDescent="0.3">
      <c r="A183"/>
      <c r="B183" s="214" t="s">
        <v>199</v>
      </c>
      <c r="C183"/>
      <c r="D183"/>
      <c r="E183"/>
      <c r="F183"/>
      <c r="G183"/>
      <c r="H183"/>
      <c r="I183"/>
    </row>
    <row r="184" spans="1:9" x14ac:dyDescent="0.3">
      <c r="A184"/>
      <c r="B184"/>
      <c r="C184"/>
      <c r="D184"/>
      <c r="E184"/>
      <c r="F184"/>
      <c r="G184"/>
      <c r="H184"/>
      <c r="I184"/>
    </row>
    <row r="185" spans="1:9" x14ac:dyDescent="0.3">
      <c r="A185" s="148"/>
      <c r="B185" s="148"/>
      <c r="C185" s="148"/>
      <c r="D185" s="148"/>
      <c r="E185" s="148"/>
      <c r="F185" s="148"/>
      <c r="G185" s="148"/>
      <c r="H185" s="148"/>
      <c r="I185" s="148"/>
    </row>
    <row r="186" spans="1:9" x14ac:dyDescent="0.3">
      <c r="A186" s="148"/>
      <c r="B186" s="148"/>
      <c r="C186" s="148"/>
      <c r="D186" s="148"/>
      <c r="E186" s="148"/>
      <c r="F186" s="148"/>
      <c r="G186" s="148"/>
      <c r="H186" s="148"/>
      <c r="I186" s="148"/>
    </row>
    <row r="187" spans="1:9" x14ac:dyDescent="0.3">
      <c r="A187" s="148"/>
      <c r="B187" s="148"/>
      <c r="C187" s="148"/>
      <c r="D187" s="148"/>
      <c r="E187" s="148"/>
      <c r="F187" s="148"/>
      <c r="G187" s="148"/>
      <c r="H187" s="148"/>
      <c r="I187" s="148"/>
    </row>
    <row r="188" spans="1:9" x14ac:dyDescent="0.3">
      <c r="A188" s="148"/>
      <c r="B188" s="148"/>
      <c r="C188" s="148"/>
      <c r="D188" s="148"/>
      <c r="E188" s="148"/>
      <c r="F188" s="148"/>
      <c r="G188" s="148"/>
      <c r="H188" s="148"/>
      <c r="I188" s="148"/>
    </row>
    <row r="189" spans="1:9" x14ac:dyDescent="0.3">
      <c r="A189" s="148"/>
      <c r="B189" s="148"/>
      <c r="C189" s="148"/>
      <c r="D189" s="148"/>
      <c r="E189" s="148"/>
      <c r="F189" s="148"/>
      <c r="G189" s="148"/>
      <c r="H189" s="148"/>
      <c r="I189" s="148"/>
    </row>
    <row r="190" spans="1:9" x14ac:dyDescent="0.3">
      <c r="A190" s="148"/>
      <c r="B190" s="148"/>
      <c r="C190" s="148"/>
      <c r="D190" s="148"/>
      <c r="E190" s="148"/>
      <c r="F190" s="148"/>
      <c r="G190" s="148"/>
      <c r="H190" s="148"/>
      <c r="I190" s="148"/>
    </row>
    <row r="191" spans="1:9" x14ac:dyDescent="0.3">
      <c r="A191" s="148"/>
      <c r="B191" s="148"/>
      <c r="C191" s="148"/>
      <c r="D191" s="148"/>
      <c r="E191" s="148"/>
      <c r="F191" s="148"/>
      <c r="G191" s="148"/>
      <c r="H191" s="148"/>
      <c r="I191" s="148"/>
    </row>
    <row r="192" spans="1:9" x14ac:dyDescent="0.3">
      <c r="A192" s="148"/>
      <c r="B192" s="148"/>
      <c r="C192" s="148"/>
      <c r="D192" s="148"/>
      <c r="E192" s="148"/>
      <c r="F192" s="148"/>
      <c r="G192" s="148"/>
      <c r="H192" s="148"/>
      <c r="I192" s="148"/>
    </row>
    <row r="193" spans="1:9" x14ac:dyDescent="0.3">
      <c r="A193" s="148"/>
      <c r="B193" s="148"/>
      <c r="C193" s="148"/>
      <c r="D193" s="148"/>
      <c r="E193" s="148"/>
      <c r="F193" s="148"/>
      <c r="G193" s="148"/>
      <c r="H193" s="148"/>
      <c r="I193" s="148"/>
    </row>
    <row r="194" spans="1:9" x14ac:dyDescent="0.3">
      <c r="A194" s="148"/>
      <c r="B194" s="148"/>
      <c r="C194" s="148"/>
      <c r="D194" s="148"/>
      <c r="E194" s="148"/>
      <c r="F194" s="148"/>
      <c r="G194" s="148"/>
      <c r="H194" s="148"/>
      <c r="I194" s="148"/>
    </row>
    <row r="195" spans="1:9" x14ac:dyDescent="0.3">
      <c r="A195" s="148"/>
      <c r="B195" s="148"/>
      <c r="C195" s="148"/>
      <c r="D195" s="148"/>
      <c r="E195" s="148"/>
      <c r="F195" s="148"/>
      <c r="G195" s="148"/>
      <c r="H195" s="148"/>
      <c r="I195" s="148"/>
    </row>
    <row r="196" spans="1:9" x14ac:dyDescent="0.3">
      <c r="A196" s="147" t="s">
        <v>141</v>
      </c>
      <c r="B196" s="148"/>
      <c r="C196" s="148"/>
      <c r="D196" s="148"/>
      <c r="E196" s="148"/>
      <c r="F196" s="147" t="s">
        <v>149</v>
      </c>
      <c r="G196" s="148"/>
      <c r="H196" s="148"/>
      <c r="I196" s="148"/>
    </row>
    <row r="197" spans="1:9" x14ac:dyDescent="0.3">
      <c r="A197" s="148"/>
      <c r="B197" s="148"/>
      <c r="C197" s="148"/>
      <c r="D197" s="148"/>
      <c r="E197" s="148"/>
      <c r="F197" s="148"/>
      <c r="G197" s="148"/>
      <c r="H197" s="148"/>
      <c r="I197" s="148"/>
    </row>
    <row r="198" spans="1:9" x14ac:dyDescent="0.3">
      <c r="A198" s="148" t="s">
        <v>142</v>
      </c>
      <c r="B198" s="148"/>
      <c r="C198" s="148"/>
      <c r="D198" s="148"/>
      <c r="E198" s="148"/>
      <c r="F198" s="148"/>
      <c r="G198" s="148"/>
      <c r="H198" s="148"/>
      <c r="I198" s="148"/>
    </row>
    <row r="199" spans="1:9" x14ac:dyDescent="0.3">
      <c r="A199" s="148"/>
      <c r="B199" s="148"/>
      <c r="C199" s="148"/>
      <c r="D199" s="148"/>
      <c r="E199" s="148"/>
      <c r="F199" s="148"/>
      <c r="G199" s="148"/>
      <c r="H199" s="148"/>
      <c r="I199" s="148"/>
    </row>
    <row r="200" spans="1:9" x14ac:dyDescent="0.3">
      <c r="A200" s="147" t="s">
        <v>143</v>
      </c>
      <c r="B200" s="148" t="s">
        <v>205</v>
      </c>
      <c r="C200" s="148"/>
      <c r="D200" s="148"/>
      <c r="E200" s="148"/>
      <c r="F200" s="208" t="s">
        <v>168</v>
      </c>
      <c r="G200" s="147">
        <f>ROUND((H200+ABS(H200-H201)*(G202/G206)),4)</f>
        <v>52.789700000000003</v>
      </c>
      <c r="H200" s="148">
        <f>'&lt;BENENNUNG&gt;EINZELSERIEN'!$L$23</f>
        <v>50</v>
      </c>
      <c r="I200" s="148"/>
    </row>
    <row r="201" spans="1:9" x14ac:dyDescent="0.3">
      <c r="A201" s="148"/>
      <c r="B201" s="148"/>
      <c r="C201" s="148"/>
      <c r="D201" s="148"/>
      <c r="E201" s="148"/>
      <c r="F201" s="208" t="s">
        <v>169</v>
      </c>
      <c r="G201" s="147">
        <f>ROUND((H200-ABS(H200-H202)*(G202/G206)),4)</f>
        <v>47.210299999999997</v>
      </c>
      <c r="H201" s="148">
        <f>'&lt;BENENNUNG&gt;EINZELSERIEN'!$L$25</f>
        <v>51.5</v>
      </c>
      <c r="I201" s="148"/>
    </row>
    <row r="202" spans="1:9" x14ac:dyDescent="0.3">
      <c r="A202" s="148" t="s">
        <v>144</v>
      </c>
      <c r="B202" s="148" t="s">
        <v>150</v>
      </c>
      <c r="C202" s="148"/>
      <c r="D202" s="148"/>
      <c r="E202" s="148"/>
      <c r="F202" s="148" t="s">
        <v>152</v>
      </c>
      <c r="G202" s="148">
        <v>3.0575000000000001</v>
      </c>
      <c r="H202" s="148">
        <f>'&lt;BENENNUNG&gt;EINZELSERIEN'!$L$24</f>
        <v>48.5</v>
      </c>
      <c r="I202" s="148"/>
    </row>
    <row r="203" spans="1:9" x14ac:dyDescent="0.3">
      <c r="A203" s="148"/>
      <c r="B203" s="148"/>
      <c r="C203" s="148"/>
      <c r="D203" s="148"/>
      <c r="E203" s="148"/>
      <c r="F203" s="148"/>
      <c r="G203" s="148"/>
      <c r="H203" s="148"/>
      <c r="I203" s="148"/>
    </row>
    <row r="204" spans="1:9" x14ac:dyDescent="0.3">
      <c r="A204" s="148" t="s">
        <v>160</v>
      </c>
      <c r="B204" s="148" t="s">
        <v>151</v>
      </c>
      <c r="C204" s="148"/>
      <c r="D204" s="148"/>
      <c r="E204" s="148"/>
      <c r="F204" s="148"/>
      <c r="G204" s="148"/>
      <c r="H204" s="148"/>
      <c r="I204" s="148"/>
    </row>
    <row r="205" spans="1:9" x14ac:dyDescent="0.3">
      <c r="A205" s="148"/>
      <c r="B205" s="148"/>
      <c r="C205" s="148"/>
      <c r="D205" s="148"/>
      <c r="E205" s="148"/>
      <c r="F205" s="148"/>
      <c r="G205" s="148"/>
      <c r="H205" s="148"/>
      <c r="I205" s="148"/>
    </row>
    <row r="206" spans="1:9" ht="15.6" x14ac:dyDescent="0.35">
      <c r="A206" s="148" t="s">
        <v>146</v>
      </c>
      <c r="B206" s="148" t="s">
        <v>206</v>
      </c>
      <c r="C206" s="148"/>
      <c r="D206" s="148"/>
      <c r="E206" s="148"/>
      <c r="F206" s="148" t="s">
        <v>153</v>
      </c>
      <c r="G206" s="148">
        <f>ROUND((4.893-2.565*(H206)^G208),4)</f>
        <v>1.6439999999999999</v>
      </c>
      <c r="H206" s="148">
        <f>'&lt;BENENNUNG&gt;EINZELSERIEN'!$L$26</f>
        <v>5</v>
      </c>
      <c r="I206" s="148"/>
    </row>
    <row r="207" spans="1:9" x14ac:dyDescent="0.3">
      <c r="A207" s="148"/>
      <c r="B207" s="148"/>
      <c r="C207" s="148"/>
      <c r="D207" s="148"/>
      <c r="E207" s="148"/>
      <c r="F207" s="148"/>
      <c r="G207" s="148"/>
      <c r="H207" s="148"/>
      <c r="I207" s="148"/>
    </row>
    <row r="208" spans="1:9" ht="15.6" x14ac:dyDescent="0.35">
      <c r="A208" s="148" t="s">
        <v>161</v>
      </c>
      <c r="B208" s="148" t="s">
        <v>207</v>
      </c>
      <c r="C208" s="148"/>
      <c r="D208" s="148"/>
      <c r="E208" s="148"/>
      <c r="F208" s="148"/>
      <c r="G208" s="148">
        <f>(1453^(1.000297^H206))/10000</f>
        <v>0.14688057667548429</v>
      </c>
      <c r="H208" s="148"/>
      <c r="I208" s="148"/>
    </row>
    <row r="209" spans="1:9" x14ac:dyDescent="0.3">
      <c r="A209" s="148"/>
      <c r="B209" s="148"/>
      <c r="C209" s="148"/>
      <c r="D209" s="148"/>
      <c r="E209" s="148"/>
      <c r="F209" s="148"/>
      <c r="G209" s="148"/>
      <c r="H209" s="148"/>
      <c r="I209" s="148"/>
    </row>
    <row r="210" spans="1:9" x14ac:dyDescent="0.3">
      <c r="A210" s="148" t="s">
        <v>208</v>
      </c>
      <c r="B210" s="148" t="s">
        <v>145</v>
      </c>
      <c r="C210" s="148"/>
      <c r="D210" s="148"/>
      <c r="E210" s="148"/>
      <c r="F210" s="148"/>
      <c r="G210" s="147">
        <f>(G200-G201)</f>
        <v>5.5794000000000068</v>
      </c>
      <c r="H210" s="148"/>
      <c r="I210" s="148"/>
    </row>
    <row r="211" spans="1:9" x14ac:dyDescent="0.3">
      <c r="A211" s="148"/>
      <c r="B211" s="148"/>
      <c r="C211" s="148"/>
      <c r="D211" s="148"/>
      <c r="E211" s="148"/>
      <c r="F211" s="148"/>
      <c r="G211" s="148"/>
      <c r="H211" s="148"/>
      <c r="I211" s="148"/>
    </row>
    <row r="212" spans="1:9" ht="15.6" x14ac:dyDescent="0.35">
      <c r="A212" s="148" t="s">
        <v>209</v>
      </c>
      <c r="B212" s="148" t="s">
        <v>210</v>
      </c>
      <c r="C212" s="148"/>
      <c r="D212" s="148" t="s">
        <v>211</v>
      </c>
      <c r="E212" s="148"/>
      <c r="F212" s="148"/>
      <c r="G212" s="147">
        <f>ROUND((4.893-(2.565*(H212^G215))),4)</f>
        <v>1.6439999999999999</v>
      </c>
      <c r="H212" s="148">
        <f>'&lt;BENENNUNG&gt; SERIENSUMME'!$L$30</f>
        <v>5</v>
      </c>
      <c r="I212" s="148"/>
    </row>
    <row r="213" spans="1:9" ht="15.6" x14ac:dyDescent="0.35">
      <c r="A213" s="148"/>
      <c r="B213" s="148" t="s">
        <v>212</v>
      </c>
      <c r="C213" s="148"/>
      <c r="D213" s="148" t="s">
        <v>154</v>
      </c>
      <c r="E213" s="148"/>
      <c r="F213" s="148"/>
      <c r="G213" s="147">
        <f>ROUND((4.893-(2.565*(H213^G216))),4)</f>
        <v>1.6439999999999999</v>
      </c>
      <c r="H213" s="148">
        <f>'&lt;BENENNUNG&gt; SERIENSUMME'!$L$31</f>
        <v>5</v>
      </c>
      <c r="I213" s="148"/>
    </row>
    <row r="214" spans="1:9" x14ac:dyDescent="0.3">
      <c r="A214" s="148"/>
      <c r="B214" s="148"/>
      <c r="C214" s="148"/>
      <c r="D214" s="148"/>
      <c r="E214" s="148"/>
      <c r="F214" s="148"/>
      <c r="G214" s="148"/>
      <c r="H214" s="148"/>
      <c r="I214" s="148"/>
    </row>
    <row r="215" spans="1:9" ht="15.6" x14ac:dyDescent="0.35">
      <c r="A215" s="148"/>
      <c r="B215" s="148" t="s">
        <v>147</v>
      </c>
      <c r="C215" s="148" t="s">
        <v>213</v>
      </c>
      <c r="D215" s="148"/>
      <c r="E215" s="148"/>
      <c r="F215" s="148"/>
      <c r="G215" s="148">
        <f>(1453^(1.000297^(H212)))/10000</f>
        <v>0.14688057667548429</v>
      </c>
      <c r="H215" s="148"/>
      <c r="I215" s="148"/>
    </row>
    <row r="216" spans="1:9" x14ac:dyDescent="0.3">
      <c r="A216" s="148"/>
      <c r="B216" s="148" t="s">
        <v>158</v>
      </c>
      <c r="C216" s="148" t="s">
        <v>159</v>
      </c>
      <c r="D216" s="148"/>
      <c r="E216" s="148"/>
      <c r="F216" s="148"/>
      <c r="G216" s="148">
        <f>(1453^(1.000297^(H213)))/10000</f>
        <v>0.14688057667548429</v>
      </c>
      <c r="H216" s="148"/>
      <c r="I216" s="148"/>
    </row>
    <row r="217" spans="1:9" x14ac:dyDescent="0.3">
      <c r="A217" s="148"/>
      <c r="B217" s="148"/>
      <c r="C217" s="148"/>
      <c r="D217" s="148"/>
      <c r="E217" s="148"/>
      <c r="F217" s="148"/>
      <c r="G217" s="148"/>
      <c r="H217" s="148"/>
      <c r="I217" s="148"/>
    </row>
    <row r="218" spans="1:9" x14ac:dyDescent="0.3">
      <c r="A218" s="147" t="s">
        <v>172</v>
      </c>
      <c r="B218" s="148"/>
      <c r="C218" s="148" t="s">
        <v>174</v>
      </c>
      <c r="D218" s="148"/>
      <c r="E218" s="148"/>
      <c r="F218" s="208" t="s">
        <v>168</v>
      </c>
      <c r="G218" s="147">
        <f>ROUND((H200+(G212/G202)*ABS(H200-G200)),4)</f>
        <v>51.5</v>
      </c>
      <c r="H218" s="148"/>
      <c r="I218" s="148"/>
    </row>
    <row r="219" spans="1:9" x14ac:dyDescent="0.3">
      <c r="A219" s="148"/>
      <c r="B219" s="148"/>
      <c r="C219" s="148" t="s">
        <v>175</v>
      </c>
      <c r="D219" s="148"/>
      <c r="E219" s="148"/>
      <c r="F219" s="208" t="s">
        <v>169</v>
      </c>
      <c r="G219" s="147">
        <f>ROUND((H200-(G213/G202)*ABS(H200-G201)),4)</f>
        <v>48.5</v>
      </c>
      <c r="H219" s="148"/>
      <c r="I219" s="148"/>
    </row>
    <row r="220" spans="1:9" x14ac:dyDescent="0.3">
      <c r="A220" s="147"/>
      <c r="B220" s="148"/>
      <c r="C220" s="148"/>
      <c r="D220" s="148"/>
      <c r="E220" s="148"/>
      <c r="F220" s="148"/>
      <c r="G220" s="148"/>
      <c r="H220" s="148"/>
      <c r="I220" s="148"/>
    </row>
    <row r="221" spans="1:9" x14ac:dyDescent="0.3">
      <c r="A221" s="147" t="s">
        <v>180</v>
      </c>
      <c r="B221" s="147"/>
      <c r="C221" s="147"/>
      <c r="D221" s="147"/>
      <c r="E221" s="147"/>
      <c r="F221" s="147"/>
      <c r="G221" s="209"/>
      <c r="H221" s="147"/>
      <c r="I221" s="148"/>
    </row>
    <row r="222" spans="1:9" x14ac:dyDescent="0.3">
      <c r="A222" s="147" t="s">
        <v>179</v>
      </c>
      <c r="B222" s="148"/>
      <c r="C222" s="147"/>
      <c r="D222" s="147"/>
      <c r="E222" s="147"/>
      <c r="F222" s="147"/>
      <c r="G222" s="148"/>
      <c r="H222" s="148"/>
      <c r="I222" s="148"/>
    </row>
    <row r="223" spans="1:9" x14ac:dyDescent="0.3">
      <c r="A223" s="147"/>
      <c r="B223" s="147"/>
      <c r="C223" s="147"/>
      <c r="D223" s="147"/>
      <c r="E223" s="147"/>
      <c r="F223" s="147"/>
      <c r="G223" s="147"/>
      <c r="H223" s="148"/>
      <c r="I223" s="148"/>
    </row>
    <row r="224" spans="1:9" x14ac:dyDescent="0.3">
      <c r="A224" s="147"/>
      <c r="B224" s="147"/>
      <c r="C224" s="147"/>
      <c r="D224" s="147"/>
      <c r="E224" s="147"/>
      <c r="F224" s="147"/>
      <c r="G224" s="147"/>
      <c r="H224" s="148"/>
      <c r="I224" s="148"/>
    </row>
    <row r="225" spans="1:9" x14ac:dyDescent="0.3">
      <c r="A225" s="148"/>
      <c r="B225" s="148"/>
      <c r="C225" s="148"/>
      <c r="D225" s="148"/>
      <c r="E225" s="148"/>
      <c r="F225" s="148"/>
      <c r="G225" s="148"/>
      <c r="H225" s="148"/>
      <c r="I225" s="148"/>
    </row>
    <row r="226" spans="1:9" x14ac:dyDescent="0.3">
      <c r="A226" s="148"/>
      <c r="B226" s="148"/>
      <c r="C226" s="148"/>
      <c r="D226" s="148"/>
      <c r="E226" s="148"/>
      <c r="F226" s="148"/>
      <c r="G226" s="148"/>
      <c r="H226" s="148"/>
      <c r="I226" s="148"/>
    </row>
    <row r="227" spans="1:9" x14ac:dyDescent="0.3">
      <c r="A227" s="148"/>
      <c r="B227" s="148"/>
      <c r="C227" s="148"/>
      <c r="D227" s="148"/>
      <c r="E227" s="148"/>
      <c r="F227" s="148"/>
      <c r="G227" s="148"/>
      <c r="H227" s="148"/>
      <c r="I227" s="148"/>
    </row>
    <row r="228" spans="1:9" x14ac:dyDescent="0.3">
      <c r="A228" s="147" t="s">
        <v>155</v>
      </c>
      <c r="B228" s="148" t="s">
        <v>148</v>
      </c>
      <c r="C228" s="148"/>
      <c r="D228" s="148"/>
      <c r="E228" s="148"/>
      <c r="F228" s="148"/>
      <c r="G228" s="147">
        <f>ROUND((G212/G202)*100,2)</f>
        <v>53.77</v>
      </c>
      <c r="H228" s="148"/>
      <c r="I228" s="148"/>
    </row>
    <row r="229" spans="1:9" x14ac:dyDescent="0.3">
      <c r="A229" s="147" t="s">
        <v>156</v>
      </c>
      <c r="B229" s="148" t="s">
        <v>157</v>
      </c>
      <c r="C229" s="148"/>
      <c r="D229" s="148"/>
      <c r="E229" s="148"/>
      <c r="F229" s="148"/>
      <c r="G229" s="147">
        <f>ROUND((G213/G202)*100,2)</f>
        <v>53.77</v>
      </c>
      <c r="H229" s="148"/>
      <c r="I229" s="148"/>
    </row>
    <row r="230" spans="1:9" x14ac:dyDescent="0.3">
      <c r="A230" s="148"/>
      <c r="B230" s="148"/>
      <c r="C230" s="148"/>
      <c r="D230" s="148"/>
      <c r="E230" s="148"/>
      <c r="F230" s="148"/>
      <c r="G230" s="148"/>
      <c r="H230" s="148"/>
      <c r="I230" s="148"/>
    </row>
    <row r="231" spans="1:9" x14ac:dyDescent="0.3">
      <c r="A231" s="148"/>
      <c r="B231" s="148"/>
      <c r="C231" s="148"/>
      <c r="D231" s="148"/>
      <c r="E231" s="148"/>
      <c r="F231" s="148"/>
      <c r="G231" s="148"/>
      <c r="H231" s="148"/>
      <c r="I231" s="148"/>
    </row>
    <row r="232" spans="1:9" x14ac:dyDescent="0.3">
      <c r="A232" s="148" t="s">
        <v>165</v>
      </c>
      <c r="B232" s="148"/>
      <c r="C232" s="148"/>
      <c r="D232" s="148"/>
      <c r="E232" s="148"/>
      <c r="F232" s="148"/>
      <c r="G232" s="148"/>
      <c r="H232" s="148"/>
      <c r="I232" s="148"/>
    </row>
    <row r="233" spans="1:9" ht="15.6" x14ac:dyDescent="0.35">
      <c r="A233" s="148"/>
      <c r="B233" s="148" t="s">
        <v>214</v>
      </c>
      <c r="C233" s="148"/>
      <c r="D233" s="148" t="s">
        <v>215</v>
      </c>
      <c r="E233" s="148"/>
      <c r="F233" s="148"/>
      <c r="G233" s="148">
        <f>(4.893-2.565*(H233^G235))</f>
        <v>3.0574934100024249</v>
      </c>
      <c r="H233" s="148">
        <f>'&lt;BENENNUNG&gt;EINZELSERIEN'!$G$30</f>
        <v>0.1</v>
      </c>
      <c r="I233" s="148"/>
    </row>
    <row r="234" spans="1:9" x14ac:dyDescent="0.3">
      <c r="A234" s="148" t="s">
        <v>166</v>
      </c>
      <c r="B234" s="148"/>
      <c r="C234" s="148"/>
      <c r="D234" s="148"/>
      <c r="E234" s="148"/>
      <c r="F234" s="148"/>
      <c r="G234" s="148"/>
      <c r="H234" s="148"/>
      <c r="I234" s="148"/>
    </row>
    <row r="235" spans="1:9" ht="15.6" x14ac:dyDescent="0.35">
      <c r="A235" s="148"/>
      <c r="B235" s="148" t="s">
        <v>167</v>
      </c>
      <c r="C235" s="148" t="s">
        <v>216</v>
      </c>
      <c r="D235" s="148"/>
      <c r="E235" s="148"/>
      <c r="F235" s="148"/>
      <c r="G235" s="148">
        <f>(1453^(1.000297^H233))/10000</f>
        <v>0.14533142136269467</v>
      </c>
      <c r="H235" s="148"/>
      <c r="I235" s="148"/>
    </row>
    <row r="236" spans="1:9" x14ac:dyDescent="0.3">
      <c r="A236" s="148"/>
      <c r="B236" s="148"/>
      <c r="C236" s="148"/>
      <c r="D236" s="148"/>
      <c r="E236" s="148"/>
      <c r="F236" s="148"/>
      <c r="G236" s="148"/>
      <c r="H236" s="148"/>
      <c r="I236" s="148"/>
    </row>
    <row r="237" spans="1:9" x14ac:dyDescent="0.3">
      <c r="A237" s="148"/>
      <c r="B237" s="148"/>
      <c r="C237" s="148"/>
      <c r="D237" s="148"/>
      <c r="E237" s="148"/>
      <c r="F237" s="148"/>
      <c r="G237" s="148"/>
      <c r="H237" s="148"/>
      <c r="I237" s="148"/>
    </row>
    <row r="238" spans="1:9" x14ac:dyDescent="0.3">
      <c r="A238" s="147" t="s">
        <v>173</v>
      </c>
      <c r="B238" s="148"/>
      <c r="C238" s="148" t="s">
        <v>170</v>
      </c>
      <c r="D238" s="148"/>
      <c r="E238" s="148"/>
      <c r="F238" s="148" t="s">
        <v>168</v>
      </c>
      <c r="G238" s="147">
        <f>ROUND((H200+(G233/G202)*ABS(H200-G200)),3)</f>
        <v>52.79</v>
      </c>
      <c r="H238" s="148"/>
      <c r="I238" s="148"/>
    </row>
    <row r="239" spans="1:9" x14ac:dyDescent="0.3">
      <c r="A239" s="148"/>
      <c r="B239" s="148"/>
      <c r="C239" s="148" t="s">
        <v>171</v>
      </c>
      <c r="D239" s="148"/>
      <c r="E239" s="148"/>
      <c r="F239" s="148" t="s">
        <v>169</v>
      </c>
      <c r="G239" s="147">
        <f>ROUND((H200-(G233/G202)*ABS(H200-G201)),3)</f>
        <v>47.21</v>
      </c>
      <c r="H239" s="148"/>
      <c r="I239" s="148"/>
    </row>
    <row r="240" spans="1:9" x14ac:dyDescent="0.3">
      <c r="A240" s="148"/>
      <c r="B240" s="148"/>
      <c r="C240" s="148"/>
      <c r="D240" s="148"/>
      <c r="E240" s="148"/>
      <c r="F240" s="148"/>
      <c r="G240" s="148"/>
      <c r="H240" s="148"/>
      <c r="I240" s="148"/>
    </row>
    <row r="241" spans="1:9" x14ac:dyDescent="0.3">
      <c r="A241" s="148"/>
      <c r="B241" s="148"/>
      <c r="C241" s="148"/>
      <c r="D241" s="148"/>
      <c r="E241" s="148"/>
      <c r="F241" s="148"/>
      <c r="G241" s="148"/>
      <c r="H241" s="148"/>
      <c r="I241" s="148"/>
    </row>
    <row r="242" spans="1:9" x14ac:dyDescent="0.3">
      <c r="A242" s="148"/>
      <c r="B242" s="148"/>
      <c r="C242" s="148"/>
      <c r="D242" s="148"/>
      <c r="E242" s="148"/>
      <c r="F242" s="148"/>
      <c r="G242" s="148"/>
      <c r="H242" s="148"/>
      <c r="I242" s="148"/>
    </row>
    <row r="243" spans="1:9" x14ac:dyDescent="0.3">
      <c r="A243" s="148"/>
      <c r="B243" s="148"/>
      <c r="C243" s="148"/>
      <c r="D243" s="148"/>
      <c r="E243" s="148"/>
      <c r="F243" s="148"/>
      <c r="G243" s="148"/>
      <c r="H243" s="148"/>
      <c r="I243" s="148"/>
    </row>
    <row r="244" spans="1:9" x14ac:dyDescent="0.3">
      <c r="A244" s="148"/>
      <c r="B244" s="148"/>
      <c r="C244" s="148"/>
      <c r="D244" s="148"/>
      <c r="E244" s="148"/>
      <c r="F244" s="148"/>
      <c r="G244" s="148"/>
      <c r="H244" s="148"/>
      <c r="I244" s="148"/>
    </row>
    <row r="245" spans="1:9" x14ac:dyDescent="0.3">
      <c r="A245" s="148"/>
      <c r="B245" s="148"/>
      <c r="C245" s="148"/>
      <c r="D245" s="148"/>
      <c r="E245" s="148"/>
      <c r="F245" s="148"/>
      <c r="G245" s="148"/>
      <c r="H245" s="148"/>
      <c r="I245" s="148"/>
    </row>
    <row r="246" spans="1:9" x14ac:dyDescent="0.3">
      <c r="A246" s="148"/>
      <c r="B246" s="148"/>
      <c r="C246" s="148"/>
      <c r="D246" s="148"/>
      <c r="E246" s="148"/>
      <c r="F246" s="148"/>
      <c r="G246" s="148"/>
      <c r="H246" s="148"/>
      <c r="I246" s="148"/>
    </row>
    <row r="247" spans="1:9" x14ac:dyDescent="0.3">
      <c r="A247" s="148"/>
      <c r="B247" s="148"/>
      <c r="C247" s="148"/>
      <c r="D247" s="148"/>
      <c r="E247" s="148"/>
      <c r="F247" s="148"/>
      <c r="G247" s="148"/>
      <c r="H247" s="148"/>
      <c r="I247" s="148"/>
    </row>
    <row r="248" spans="1:9" x14ac:dyDescent="0.3">
      <c r="A248" s="148"/>
      <c r="B248" s="148"/>
      <c r="C248" s="148"/>
      <c r="D248" s="148"/>
      <c r="E248" s="148"/>
      <c r="F248" s="148"/>
      <c r="G248" s="148"/>
      <c r="H248" s="148"/>
      <c r="I248" s="148"/>
    </row>
    <row r="249" spans="1:9" x14ac:dyDescent="0.3">
      <c r="A249" s="148"/>
      <c r="B249" s="148"/>
      <c r="C249" s="148"/>
      <c r="D249" s="148"/>
      <c r="E249" s="148"/>
      <c r="F249" s="148"/>
      <c r="G249" s="148"/>
      <c r="H249" s="148"/>
      <c r="I249" s="148"/>
    </row>
    <row r="250" spans="1:9" x14ac:dyDescent="0.3">
      <c r="A250" s="148"/>
      <c r="B250" s="148"/>
      <c r="C250" s="148"/>
      <c r="D250" s="148"/>
      <c r="E250" s="148"/>
      <c r="F250" s="148"/>
      <c r="G250" s="148"/>
      <c r="H250" s="148"/>
      <c r="I250" s="148"/>
    </row>
    <row r="251" spans="1:9" x14ac:dyDescent="0.3">
      <c r="A251" s="148"/>
      <c r="B251" s="148"/>
      <c r="C251" s="148"/>
      <c r="D251" s="148"/>
      <c r="E251" s="148"/>
      <c r="F251" s="148"/>
      <c r="G251" s="148"/>
      <c r="H251" s="148"/>
      <c r="I251" s="148"/>
    </row>
    <row r="252" spans="1:9" x14ac:dyDescent="0.3">
      <c r="A252" s="148"/>
      <c r="B252" s="148"/>
      <c r="C252" s="148"/>
      <c r="D252" s="148"/>
      <c r="E252" s="148"/>
      <c r="F252" s="148"/>
      <c r="G252" s="148"/>
      <c r="H252" s="148"/>
      <c r="I252" s="148"/>
    </row>
    <row r="253" spans="1:9" x14ac:dyDescent="0.3">
      <c r="A253" s="148"/>
      <c r="B253" s="148"/>
      <c r="C253" s="148"/>
      <c r="D253" s="148"/>
      <c r="E253" s="148"/>
      <c r="F253" s="148"/>
      <c r="G253" s="148"/>
      <c r="H253" s="148"/>
      <c r="I253" s="148"/>
    </row>
  </sheetData>
  <sheetProtection algorithmName="SHA-512" hashValue="vN7vVsqRXe3Jm5XkFQd+7ChE1UKMvRKcOsFHvnODSBppK9t4Stzxpyu9WeO3P5VKSYr0yMFxCuW0V9Y47Xy2IA==" saltValue="D4otO0elgFtEPVsvf01S+Q==" spinCount="100000" sheet="1" objects="1" scenarios="1" selectLockedCells="1"/>
  <mergeCells count="2">
    <mergeCell ref="B131:C131"/>
    <mergeCell ref="D131:E131"/>
  </mergeCells>
  <pageMargins left="0.7" right="0.7" top="0.78740157499999996" bottom="0.78740157499999996" header="0.3" footer="0.3"/>
  <pageSetup paperSize="9" scale="9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&lt;KLEIN - STICHPROBEN&gt;</vt:lpstr>
      <vt:lpstr>&lt;BENENNUNG&gt;EINZELSERIEN</vt:lpstr>
      <vt:lpstr>&lt;BENENNUNG&gt; SERIENSUMME</vt:lpstr>
      <vt:lpstr>AUSSCHUSS - GANGLINIE</vt:lpstr>
      <vt:lpstr>'&lt;BENENNUNG&gt; SERIENSUMME'!Druckbereich</vt:lpstr>
      <vt:lpstr>'&lt;BENENNUNG&gt;EINZELSERIEN'!Druckbereich</vt:lpstr>
      <vt:lpstr>'&lt;KLEIN - STICHPROBEN&gt;'!Druckbereich</vt:lpstr>
      <vt:lpstr>'AUSSCHUSS - GANGLINIE'!Druckbereich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</dc:creator>
  <cp:lastModifiedBy>Heinz</cp:lastModifiedBy>
  <cp:lastPrinted>2016-11-19T15:18:17Z</cp:lastPrinted>
  <dcterms:created xsi:type="dcterms:W3CDTF">2016-09-19T08:57:10Z</dcterms:created>
  <dcterms:modified xsi:type="dcterms:W3CDTF">2023-03-14T11:06:45Z</dcterms:modified>
</cp:coreProperties>
</file>