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C:\Users\Heinz\Documents\"/>
    </mc:Choice>
  </mc:AlternateContent>
  <bookViews>
    <workbookView xWindow="0" yWindow="0" windowWidth="23040" windowHeight="9084" tabRatio="705" xr2:uid="{00000000-000D-0000-FFFF-FFFF00000000}"/>
  </bookViews>
  <sheets>
    <sheet name="&lt;KLEIN - STICHPROBEN&gt;" sheetId="1" r:id="rId1"/>
    <sheet name="&lt;BESCHREIBUNG&gt;EINZELSERIEN" sheetId="2" r:id="rId2"/>
    <sheet name="&lt;BESCHREIBUNG&gt; SERIENSUMME" sheetId="3" r:id="rId3"/>
    <sheet name="AUSSCHUSS - GANGLINIE" sheetId="4" r:id="rId4"/>
  </sheets>
  <definedNames>
    <definedName name="_xlnm.Print_Area" localSheetId="2">'&lt;BESCHREIBUNG&gt; SERIENSUMME'!$A$1:$L$31</definedName>
    <definedName name="_xlnm.Print_Area" localSheetId="1">'&lt;BESCHREIBUNG&gt;EINZELSERIEN'!$A$1:$L$32</definedName>
    <definedName name="_xlnm.Print_Area" localSheetId="0">'&lt;KLEIN - STICHPROBEN&gt;'!$A$1:$T$49</definedName>
    <definedName name="_xlnm.Print_Area" localSheetId="3">'AUSSCHUSS - GANGLINIE'!$A$153:$I$187</definedName>
  </definedNames>
  <calcPr calcId="171027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2" l="1"/>
  <c r="S38" i="1" l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D36" i="1"/>
  <c r="D39" i="1"/>
  <c r="D37" i="1"/>
  <c r="S43" i="1"/>
  <c r="S46" i="1"/>
  <c r="S44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L39" i="1"/>
  <c r="S36" i="1"/>
  <c r="G36" i="1"/>
  <c r="G39" i="1"/>
  <c r="G37" i="1"/>
  <c r="G40" i="1"/>
  <c r="G43" i="1"/>
  <c r="G46" i="1"/>
  <c r="G44" i="1"/>
  <c r="G45" i="1"/>
  <c r="F43" i="1"/>
  <c r="F46" i="1"/>
  <c r="F44" i="1"/>
  <c r="G47" i="1"/>
  <c r="D81" i="4"/>
  <c r="H96" i="4"/>
  <c r="D79" i="4"/>
  <c r="H94" i="4"/>
  <c r="D2" i="3"/>
  <c r="P3" i="1"/>
  <c r="J3" i="1"/>
  <c r="D3" i="1"/>
  <c r="S39" i="1"/>
  <c r="S37" i="1"/>
  <c r="S40" i="1"/>
  <c r="A21" i="2"/>
  <c r="L21" i="2"/>
  <c r="L25" i="3"/>
  <c r="L26" i="3"/>
  <c r="L27" i="3"/>
  <c r="E28" i="3"/>
  <c r="C28" i="3"/>
  <c r="R36" i="1"/>
  <c r="R39" i="1"/>
  <c r="R37" i="1"/>
  <c r="R40" i="1"/>
  <c r="A20" i="2"/>
  <c r="L20" i="2"/>
  <c r="Q36" i="1"/>
  <c r="Q39" i="1"/>
  <c r="Q37" i="1"/>
  <c r="Q40" i="1"/>
  <c r="A19" i="2"/>
  <c r="L19" i="2"/>
  <c r="P36" i="1"/>
  <c r="P39" i="1"/>
  <c r="P37" i="1"/>
  <c r="P40" i="1"/>
  <c r="A18" i="2"/>
  <c r="L18" i="2"/>
  <c r="O36" i="1"/>
  <c r="O39" i="1"/>
  <c r="O37" i="1"/>
  <c r="O40" i="1"/>
  <c r="A17" i="2"/>
  <c r="L17" i="2"/>
  <c r="N36" i="1"/>
  <c r="N39" i="1"/>
  <c r="N37" i="1"/>
  <c r="N40" i="1"/>
  <c r="A16" i="2"/>
  <c r="L16" i="2"/>
  <c r="C46" i="1"/>
  <c r="A5" i="3"/>
  <c r="L5" i="3"/>
  <c r="A21" i="3"/>
  <c r="L21" i="3"/>
  <c r="R46" i="1"/>
  <c r="A20" i="3"/>
  <c r="L20" i="3"/>
  <c r="Q46" i="1"/>
  <c r="A19" i="3"/>
  <c r="L19" i="3"/>
  <c r="P46" i="1"/>
  <c r="A18" i="3"/>
  <c r="L18" i="3"/>
  <c r="O46" i="1"/>
  <c r="A17" i="3"/>
  <c r="L17" i="3"/>
  <c r="N46" i="1"/>
  <c r="A16" i="3"/>
  <c r="L16" i="3"/>
  <c r="M46" i="1"/>
  <c r="A15" i="3"/>
  <c r="L15" i="3"/>
  <c r="L46" i="1"/>
  <c r="A14" i="3"/>
  <c r="L14" i="3"/>
  <c r="K46" i="1"/>
  <c r="A13" i="3"/>
  <c r="L13" i="3"/>
  <c r="J46" i="1"/>
  <c r="A12" i="3"/>
  <c r="L12" i="3"/>
  <c r="I46" i="1"/>
  <c r="A11" i="3"/>
  <c r="L11" i="3"/>
  <c r="H46" i="1"/>
  <c r="A10" i="3"/>
  <c r="L10" i="3"/>
  <c r="A9" i="3"/>
  <c r="L9" i="3"/>
  <c r="A8" i="3"/>
  <c r="L8" i="3"/>
  <c r="E46" i="1"/>
  <c r="A7" i="3"/>
  <c r="L7" i="3"/>
  <c r="D46" i="1"/>
  <c r="A6" i="3"/>
  <c r="L6" i="3"/>
  <c r="B46" i="1"/>
  <c r="A4" i="3"/>
  <c r="L4" i="3"/>
  <c r="K17" i="3"/>
  <c r="K21" i="3"/>
  <c r="K20" i="3"/>
  <c r="K19" i="3"/>
  <c r="K18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J39" i="1"/>
  <c r="A12" i="2"/>
  <c r="L12" i="2"/>
  <c r="M39" i="1"/>
  <c r="A15" i="2"/>
  <c r="L15" i="2"/>
  <c r="A14" i="2"/>
  <c r="L14" i="2"/>
  <c r="K39" i="1"/>
  <c r="A13" i="2"/>
  <c r="L13" i="2"/>
  <c r="I39" i="1"/>
  <c r="A11" i="2"/>
  <c r="L11" i="2"/>
  <c r="H39" i="1"/>
  <c r="A10" i="2"/>
  <c r="L10" i="2"/>
  <c r="A9" i="2"/>
  <c r="L9" i="2"/>
  <c r="F39" i="1"/>
  <c r="A8" i="2"/>
  <c r="L8" i="2"/>
  <c r="E39" i="1"/>
  <c r="A7" i="2"/>
  <c r="L7" i="2"/>
  <c r="A6" i="2"/>
  <c r="L6" i="2"/>
  <c r="C39" i="1"/>
  <c r="A5" i="2"/>
  <c r="L5" i="2"/>
  <c r="B39" i="1"/>
  <c r="A4" i="2"/>
  <c r="L4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G175" i="4"/>
  <c r="I175" i="4"/>
  <c r="L27" i="2"/>
  <c r="G174" i="4" s="1"/>
  <c r="H174" i="4" s="1"/>
  <c r="Q43" i="1"/>
  <c r="Q44" i="1"/>
  <c r="P43" i="1"/>
  <c r="P44" i="1"/>
  <c r="Q47" i="1"/>
  <c r="R43" i="1"/>
  <c r="R44" i="1"/>
  <c r="S47" i="1"/>
  <c r="D74" i="4"/>
  <c r="H120" i="4"/>
  <c r="H116" i="4"/>
  <c r="D70" i="4"/>
  <c r="D72" i="4"/>
  <c r="G150" i="4"/>
  <c r="F150" i="4"/>
  <c r="G149" i="4"/>
  <c r="F149" i="4"/>
  <c r="G148" i="4"/>
  <c r="F148" i="4"/>
  <c r="G147" i="4"/>
  <c r="F147" i="4"/>
  <c r="O43" i="1"/>
  <c r="O44" i="1"/>
  <c r="G146" i="4"/>
  <c r="F146" i="4"/>
  <c r="N43" i="1"/>
  <c r="N44" i="1"/>
  <c r="G145" i="4"/>
  <c r="F145" i="4"/>
  <c r="M43" i="1"/>
  <c r="M44" i="1"/>
  <c r="G144" i="4"/>
  <c r="F144" i="4"/>
  <c r="L43" i="1"/>
  <c r="L44" i="1"/>
  <c r="G143" i="4"/>
  <c r="F143" i="4"/>
  <c r="K43" i="1"/>
  <c r="K44" i="1"/>
  <c r="G142" i="4"/>
  <c r="F142" i="4"/>
  <c r="J43" i="1"/>
  <c r="J44" i="1"/>
  <c r="G141" i="4"/>
  <c r="F141" i="4"/>
  <c r="I43" i="1"/>
  <c r="I44" i="1"/>
  <c r="G140" i="4"/>
  <c r="F140" i="4"/>
  <c r="H43" i="1"/>
  <c r="H44" i="1"/>
  <c r="G139" i="4"/>
  <c r="E139" i="4"/>
  <c r="G138" i="4"/>
  <c r="F138" i="4"/>
  <c r="E138" i="4"/>
  <c r="G137" i="4"/>
  <c r="E137" i="4"/>
  <c r="E43" i="1"/>
  <c r="E44" i="1"/>
  <c r="G136" i="4"/>
  <c r="E136" i="4"/>
  <c r="D43" i="1"/>
  <c r="D44" i="1"/>
  <c r="G135" i="4"/>
  <c r="E135" i="4"/>
  <c r="C43" i="1"/>
  <c r="C44" i="1"/>
  <c r="G134" i="4"/>
  <c r="E134" i="4"/>
  <c r="B43" i="1"/>
  <c r="B44" i="1"/>
  <c r="G133" i="4"/>
  <c r="E133" i="4"/>
  <c r="D139" i="4"/>
  <c r="D138" i="4"/>
  <c r="D137" i="4"/>
  <c r="D136" i="4"/>
  <c r="D135" i="4"/>
  <c r="D134" i="4"/>
  <c r="D133" i="4"/>
  <c r="C140" i="4"/>
  <c r="F139" i="4"/>
  <c r="C139" i="4"/>
  <c r="C138" i="4"/>
  <c r="F137" i="4"/>
  <c r="C137" i="4"/>
  <c r="F136" i="4"/>
  <c r="C136" i="4"/>
  <c r="F135" i="4"/>
  <c r="C135" i="4"/>
  <c r="F134" i="4"/>
  <c r="C134" i="4"/>
  <c r="F133" i="4"/>
  <c r="C133" i="4"/>
  <c r="B140" i="4"/>
  <c r="B139" i="4"/>
  <c r="B138" i="4"/>
  <c r="B137" i="4"/>
  <c r="B136" i="4"/>
  <c r="B135" i="4"/>
  <c r="B134" i="4"/>
  <c r="B133" i="4"/>
  <c r="A136" i="4"/>
  <c r="A135" i="4"/>
  <c r="A134" i="4"/>
  <c r="A133" i="4"/>
  <c r="H97" i="4"/>
  <c r="M36" i="1"/>
  <c r="M37" i="1"/>
  <c r="M40" i="1"/>
  <c r="L36" i="1"/>
  <c r="L37" i="1"/>
  <c r="L40" i="1"/>
  <c r="K36" i="1"/>
  <c r="K37" i="1"/>
  <c r="K40" i="1"/>
  <c r="J36" i="1"/>
  <c r="J37" i="1"/>
  <c r="J40" i="1"/>
  <c r="I36" i="1"/>
  <c r="I37" i="1"/>
  <c r="I40" i="1"/>
  <c r="H36" i="1"/>
  <c r="H37" i="1"/>
  <c r="H40" i="1"/>
  <c r="E36" i="1"/>
  <c r="E37" i="1"/>
  <c r="E40" i="1"/>
  <c r="D40" i="1"/>
  <c r="C36" i="1"/>
  <c r="C37" i="1"/>
  <c r="C40" i="1"/>
  <c r="B38" i="1"/>
  <c r="B36" i="1"/>
  <c r="B37" i="1"/>
  <c r="B40" i="1"/>
  <c r="E29" i="3"/>
  <c r="I28" i="2"/>
  <c r="E28" i="2"/>
  <c r="C29" i="3"/>
  <c r="G28" i="2"/>
  <c r="C28" i="2"/>
  <c r="J26" i="2"/>
  <c r="I24" i="2"/>
  <c r="J27" i="2"/>
  <c r="I25" i="2"/>
  <c r="H95" i="4"/>
  <c r="G20" i="4"/>
  <c r="H33" i="4" s="1"/>
  <c r="D47" i="1"/>
  <c r="E47" i="1"/>
  <c r="D45" i="1"/>
  <c r="E45" i="1"/>
  <c r="C23" i="3"/>
  <c r="H20" i="4"/>
  <c r="H18" i="4"/>
  <c r="G18" i="4"/>
  <c r="G31" i="4" s="1"/>
  <c r="G31" i="2"/>
  <c r="G120" i="4"/>
  <c r="G116" i="4"/>
  <c r="H100" i="4"/>
  <c r="G96" i="4"/>
  <c r="G95" i="4"/>
  <c r="G97" i="4"/>
  <c r="G100" i="4"/>
  <c r="H98" i="4"/>
  <c r="G98" i="4"/>
  <c r="G94" i="4"/>
  <c r="H13" i="4"/>
  <c r="G13" i="4"/>
  <c r="H11" i="4"/>
  <c r="G11" i="4"/>
  <c r="H9" i="4"/>
  <c r="G9" i="4"/>
  <c r="B5" i="2"/>
  <c r="C45" i="1"/>
  <c r="B45" i="1"/>
  <c r="B21" i="2"/>
  <c r="B19" i="2"/>
  <c r="B14" i="2"/>
  <c r="B20" i="2"/>
  <c r="B18" i="2"/>
  <c r="B17" i="2"/>
  <c r="B16" i="2"/>
  <c r="B15" i="2"/>
  <c r="B13" i="2"/>
  <c r="B7" i="2"/>
  <c r="B6" i="2"/>
  <c r="B10" i="2"/>
  <c r="B9" i="2"/>
  <c r="B12" i="2"/>
  <c r="B4" i="3"/>
  <c r="B47" i="1"/>
  <c r="B5" i="3"/>
  <c r="C47" i="1"/>
  <c r="B6" i="3"/>
  <c r="B7" i="3"/>
  <c r="G57" i="4"/>
  <c r="G55" i="4"/>
  <c r="G53" i="4"/>
  <c r="H57" i="4"/>
  <c r="H55" i="4"/>
  <c r="H53" i="4"/>
  <c r="B4" i="2"/>
  <c r="H31" i="4"/>
  <c r="G32" i="4"/>
  <c r="G36" i="4"/>
  <c r="G34" i="4"/>
  <c r="G38" i="4"/>
  <c r="H32" i="4"/>
  <c r="H36" i="4"/>
  <c r="H34" i="4"/>
  <c r="H38" i="4"/>
  <c r="I24" i="3"/>
  <c r="I25" i="3"/>
  <c r="C22" i="3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F36" i="1"/>
  <c r="F37" i="1"/>
  <c r="F40" i="1"/>
  <c r="S45" i="1"/>
  <c r="H47" i="1"/>
  <c r="I47" i="1"/>
  <c r="J47" i="1"/>
  <c r="K47" i="1"/>
  <c r="L47" i="1"/>
  <c r="M47" i="1"/>
  <c r="N47" i="1"/>
  <c r="O47" i="1"/>
  <c r="P47" i="1"/>
  <c r="R47" i="1"/>
  <c r="F47" i="1"/>
  <c r="H45" i="1"/>
  <c r="I45" i="1"/>
  <c r="J45" i="1"/>
  <c r="K45" i="1"/>
  <c r="L45" i="1"/>
  <c r="M45" i="1"/>
  <c r="N45" i="1"/>
  <c r="O45" i="1"/>
  <c r="P45" i="1"/>
  <c r="Q45" i="1"/>
  <c r="R45" i="1"/>
  <c r="B8" i="2"/>
  <c r="B12" i="3"/>
  <c r="B9" i="3"/>
  <c r="B17" i="3"/>
  <c r="B19" i="3"/>
  <c r="B13" i="3"/>
  <c r="B20" i="3"/>
  <c r="B21" i="3"/>
  <c r="B14" i="3"/>
  <c r="B15" i="3"/>
  <c r="B8" i="3"/>
  <c r="B16" i="3"/>
  <c r="B11" i="3"/>
  <c r="B10" i="3"/>
  <c r="B18" i="3"/>
  <c r="F45" i="1"/>
  <c r="F15" i="4" l="1"/>
  <c r="I31" i="4" s="1"/>
  <c r="I31" i="2" s="1"/>
  <c r="L28" i="3"/>
  <c r="G33" i="4"/>
  <c r="I32" i="4" l="1"/>
  <c r="I36" i="4"/>
  <c r="I95" i="4"/>
  <c r="I94" i="4"/>
  <c r="I96" i="4"/>
  <c r="I34" i="4"/>
  <c r="I97" i="4"/>
  <c r="I38" i="4"/>
  <c r="E30" i="3"/>
  <c r="C30" i="3"/>
  <c r="C29" i="2" s="1"/>
  <c r="I33" i="4"/>
  <c r="I30" i="2" s="1"/>
  <c r="F21" i="3" l="1"/>
  <c r="F6" i="3"/>
  <c r="E29" i="2"/>
  <c r="H78" i="4"/>
  <c r="G79" i="4" s="1"/>
  <c r="L29" i="3"/>
  <c r="D4" i="3"/>
  <c r="C31" i="3"/>
  <c r="D14" i="3" s="1"/>
  <c r="F19" i="3"/>
  <c r="H79" i="4"/>
  <c r="H71" i="4"/>
  <c r="G72" i="4" s="1"/>
  <c r="F17" i="3" l="1"/>
  <c r="F13" i="3"/>
  <c r="D8" i="3"/>
  <c r="F16" i="3"/>
  <c r="D17" i="3"/>
  <c r="F9" i="3"/>
  <c r="E9" i="3" s="1"/>
  <c r="F5" i="3"/>
  <c r="F10" i="3"/>
  <c r="D15" i="3"/>
  <c r="F7" i="3"/>
  <c r="F14" i="3"/>
  <c r="E14" i="3" s="1"/>
  <c r="D20" i="3"/>
  <c r="D11" i="3"/>
  <c r="F8" i="3"/>
  <c r="F4" i="3"/>
  <c r="D9" i="3"/>
  <c r="D5" i="3"/>
  <c r="E5" i="3" s="1"/>
  <c r="D16" i="3"/>
  <c r="E16" i="3" s="1"/>
  <c r="G78" i="4"/>
  <c r="G80" i="4" s="1"/>
  <c r="D18" i="3"/>
  <c r="D10" i="3"/>
  <c r="E10" i="3" s="1"/>
  <c r="G71" i="4"/>
  <c r="G73" i="4" s="1"/>
  <c r="E4" i="3"/>
  <c r="F15" i="3"/>
  <c r="C30" i="2"/>
  <c r="C4" i="3"/>
  <c r="C11" i="3"/>
  <c r="C15" i="3"/>
  <c r="C19" i="3"/>
  <c r="C7" i="3"/>
  <c r="C12" i="3"/>
  <c r="C16" i="3"/>
  <c r="C20" i="3"/>
  <c r="C8" i="3"/>
  <c r="C21" i="3"/>
  <c r="C9" i="3"/>
  <c r="C13" i="3"/>
  <c r="C17" i="3"/>
  <c r="C10" i="3"/>
  <c r="C14" i="3"/>
  <c r="C18" i="3"/>
  <c r="C6" i="3"/>
  <c r="C5" i="3"/>
  <c r="D21" i="3"/>
  <c r="E21" i="3" s="1"/>
  <c r="F11" i="3"/>
  <c r="D12" i="3"/>
  <c r="F12" i="3"/>
  <c r="E17" i="3"/>
  <c r="E15" i="3"/>
  <c r="D7" i="3"/>
  <c r="E7" i="3" s="1"/>
  <c r="D19" i="3"/>
  <c r="E19" i="3" s="1"/>
  <c r="D6" i="3"/>
  <c r="E6" i="3" s="1"/>
  <c r="D13" i="3"/>
  <c r="F20" i="3"/>
  <c r="F18" i="3"/>
  <c r="E18" i="3" s="1"/>
  <c r="H87" i="4"/>
  <c r="H83" i="4"/>
  <c r="H89" i="4"/>
  <c r="H85" i="4"/>
  <c r="E20" i="3" l="1"/>
  <c r="E11" i="3"/>
  <c r="E13" i="3"/>
  <c r="E8" i="3"/>
  <c r="C18" i="2"/>
  <c r="C10" i="2"/>
  <c r="C17" i="2"/>
  <c r="C9" i="2"/>
  <c r="C16" i="2"/>
  <c r="C7" i="2"/>
  <c r="C8" i="2"/>
  <c r="C15" i="2"/>
  <c r="C6" i="2"/>
  <c r="C14" i="2"/>
  <c r="C5" i="2"/>
  <c r="D13" i="2"/>
  <c r="C21" i="2"/>
  <c r="C13" i="2"/>
  <c r="C20" i="2"/>
  <c r="C12" i="2"/>
  <c r="C4" i="2"/>
  <c r="C19" i="2"/>
  <c r="C11" i="2"/>
  <c r="D7" i="2"/>
  <c r="F11" i="2"/>
  <c r="D14" i="2"/>
  <c r="E14" i="2" s="1"/>
  <c r="F6" i="2"/>
  <c r="F13" i="2"/>
  <c r="D4" i="2"/>
  <c r="F10" i="2"/>
  <c r="F20" i="2"/>
  <c r="H23" i="3"/>
  <c r="H22" i="3"/>
  <c r="H37" i="4"/>
  <c r="G37" i="4"/>
  <c r="I37" i="4" s="1"/>
  <c r="A48" i="1"/>
  <c r="E12" i="3"/>
  <c r="D11" i="2"/>
  <c r="E11" i="2" s="1"/>
  <c r="F15" i="2"/>
  <c r="D6" i="2"/>
  <c r="F12" i="2"/>
  <c r="D10" i="2"/>
  <c r="E10" i="2" s="1"/>
  <c r="D16" i="2"/>
  <c r="F14" i="2"/>
  <c r="G35" i="4"/>
  <c r="A49" i="1"/>
  <c r="H35" i="4"/>
  <c r="F7" i="2"/>
  <c r="F21" i="2"/>
  <c r="F18" i="2"/>
  <c r="F5" i="2"/>
  <c r="D8" i="2"/>
  <c r="F8" i="2"/>
  <c r="D20" i="2"/>
  <c r="E20" i="2" s="1"/>
  <c r="D15" i="2"/>
  <c r="E15" i="2" s="1"/>
  <c r="D19" i="2"/>
  <c r="F17" i="2"/>
  <c r="F9" i="2"/>
  <c r="F19" i="2"/>
  <c r="G23" i="3"/>
  <c r="G22" i="3"/>
  <c r="D12" i="2"/>
  <c r="E12" i="2" s="1"/>
  <c r="F16" i="2"/>
  <c r="F4" i="2"/>
  <c r="D9" i="2"/>
  <c r="D21" i="2"/>
  <c r="E21" i="2" s="1"/>
  <c r="D5" i="2"/>
  <c r="E5" i="2" s="1"/>
  <c r="D18" i="2"/>
  <c r="D17" i="2"/>
  <c r="E17" i="2" s="1"/>
  <c r="E6" i="2" l="1"/>
  <c r="I35" i="4"/>
  <c r="C24" i="3"/>
  <c r="C24" i="2" s="1"/>
  <c r="G22" i="2"/>
  <c r="E18" i="2"/>
  <c r="G23" i="2"/>
  <c r="C25" i="3"/>
  <c r="C25" i="2" s="1"/>
  <c r="E8" i="2"/>
  <c r="G48" i="1"/>
  <c r="I138" i="4" s="1"/>
  <c r="S48" i="1"/>
  <c r="I150" i="4" s="1"/>
  <c r="O48" i="1"/>
  <c r="I146" i="4" s="1"/>
  <c r="N48" i="1"/>
  <c r="I145" i="4" s="1"/>
  <c r="M48" i="1"/>
  <c r="I144" i="4" s="1"/>
  <c r="L48" i="1"/>
  <c r="I143" i="4" s="1"/>
  <c r="K48" i="1"/>
  <c r="I142" i="4" s="1"/>
  <c r="J48" i="1"/>
  <c r="I141" i="4" s="1"/>
  <c r="F48" i="1"/>
  <c r="I137" i="4" s="1"/>
  <c r="P48" i="1"/>
  <c r="I147" i="4" s="1"/>
  <c r="C48" i="1"/>
  <c r="I134" i="4" s="1"/>
  <c r="I48" i="1"/>
  <c r="I140" i="4" s="1"/>
  <c r="Q48" i="1"/>
  <c r="I148" i="4" s="1"/>
  <c r="E48" i="1"/>
  <c r="I136" i="4" s="1"/>
  <c r="B48" i="1"/>
  <c r="I133" i="4" s="1"/>
  <c r="R48" i="1"/>
  <c r="I149" i="4" s="1"/>
  <c r="H48" i="1"/>
  <c r="I139" i="4" s="1"/>
  <c r="D48" i="1"/>
  <c r="I135" i="4" s="1"/>
  <c r="E16" i="2"/>
  <c r="E9" i="2"/>
  <c r="H22" i="2"/>
  <c r="C26" i="3"/>
  <c r="C26" i="2" s="1"/>
  <c r="E19" i="2"/>
  <c r="C27" i="3"/>
  <c r="C27" i="2" s="1"/>
  <c r="H23" i="2"/>
  <c r="E7" i="2"/>
  <c r="E13" i="2"/>
  <c r="B49" i="1"/>
  <c r="H133" i="4" s="1"/>
  <c r="S49" i="1"/>
  <c r="H150" i="4" s="1"/>
  <c r="Q49" i="1"/>
  <c r="H148" i="4" s="1"/>
  <c r="O49" i="1"/>
  <c r="H146" i="4" s="1"/>
  <c r="M49" i="1"/>
  <c r="H144" i="4" s="1"/>
  <c r="K49" i="1"/>
  <c r="H142" i="4" s="1"/>
  <c r="I49" i="1"/>
  <c r="H140" i="4" s="1"/>
  <c r="D49" i="1"/>
  <c r="H135" i="4" s="1"/>
  <c r="F49" i="1"/>
  <c r="H137" i="4" s="1"/>
  <c r="C49" i="1"/>
  <c r="H134" i="4" s="1"/>
  <c r="R49" i="1"/>
  <c r="H149" i="4" s="1"/>
  <c r="P49" i="1"/>
  <c r="H147" i="4" s="1"/>
  <c r="N49" i="1"/>
  <c r="H145" i="4" s="1"/>
  <c r="L49" i="1"/>
  <c r="H143" i="4" s="1"/>
  <c r="J49" i="1"/>
  <c r="H141" i="4" s="1"/>
  <c r="G49" i="1"/>
  <c r="H138" i="4" s="1"/>
  <c r="H49" i="1"/>
  <c r="H139" i="4" s="1"/>
  <c r="E49" i="1"/>
  <c r="H136" i="4" s="1"/>
  <c r="E4" i="2"/>
  <c r="J141" i="4" l="1"/>
  <c r="B141" i="4" s="1"/>
  <c r="K141" i="4"/>
  <c r="C141" i="4" s="1"/>
  <c r="M135" i="4"/>
  <c r="L135" i="4"/>
  <c r="L147" i="4"/>
  <c r="D147" i="4" s="1"/>
  <c r="M147" i="4"/>
  <c r="E147" i="4" s="1"/>
  <c r="M150" i="4"/>
  <c r="E150" i="4" s="1"/>
  <c r="L150" i="4"/>
  <c r="D150" i="4" s="1"/>
  <c r="J143" i="4"/>
  <c r="B143" i="4" s="1"/>
  <c r="K143" i="4"/>
  <c r="C143" i="4" s="1"/>
  <c r="K142" i="4"/>
  <c r="C142" i="4" s="1"/>
  <c r="J142" i="4"/>
  <c r="B142" i="4" s="1"/>
  <c r="L139" i="4"/>
  <c r="M139" i="4"/>
  <c r="L137" i="4"/>
  <c r="M137" i="4"/>
  <c r="L138" i="4"/>
  <c r="M138" i="4"/>
  <c r="K144" i="4"/>
  <c r="C144" i="4" s="1"/>
  <c r="J144" i="4"/>
  <c r="B144" i="4" s="1"/>
  <c r="M149" i="4"/>
  <c r="E149" i="4" s="1"/>
  <c r="L149" i="4"/>
  <c r="D149" i="4" s="1"/>
  <c r="M141" i="4"/>
  <c r="E141" i="4" s="1"/>
  <c r="L141" i="4"/>
  <c r="D141" i="4" s="1"/>
  <c r="J147" i="4"/>
  <c r="B147" i="4" s="1"/>
  <c r="K147" i="4"/>
  <c r="C147" i="4" s="1"/>
  <c r="K146" i="4"/>
  <c r="C146" i="4" s="1"/>
  <c r="J146" i="4"/>
  <c r="B146" i="4" s="1"/>
  <c r="M133" i="4"/>
  <c r="L133" i="4"/>
  <c r="M142" i="4"/>
  <c r="E142" i="4" s="1"/>
  <c r="L142" i="4"/>
  <c r="D142" i="4" s="1"/>
  <c r="J149" i="4"/>
  <c r="B149" i="4" s="1"/>
  <c r="K149" i="4"/>
  <c r="C149" i="4" s="1"/>
  <c r="K148" i="4"/>
  <c r="C148" i="4" s="1"/>
  <c r="J148" i="4"/>
  <c r="B148" i="4" s="1"/>
  <c r="L136" i="4"/>
  <c r="M136" i="4"/>
  <c r="L143" i="4"/>
  <c r="D143" i="4" s="1"/>
  <c r="M143" i="4"/>
  <c r="E143" i="4" s="1"/>
  <c r="K150" i="4"/>
  <c r="C150" i="4" s="1"/>
  <c r="J150" i="4"/>
  <c r="B150" i="4" s="1"/>
  <c r="M148" i="4"/>
  <c r="E148" i="4" s="1"/>
  <c r="L148" i="4"/>
  <c r="D148" i="4" s="1"/>
  <c r="M144" i="4"/>
  <c r="E144" i="4" s="1"/>
  <c r="L144" i="4"/>
  <c r="D144" i="4" s="1"/>
  <c r="K140" i="4"/>
  <c r="J140" i="4"/>
  <c r="J136" i="4"/>
  <c r="K136" i="4"/>
  <c r="K134" i="4"/>
  <c r="J134" i="4"/>
  <c r="J137" i="4"/>
  <c r="K137" i="4"/>
  <c r="K133" i="4"/>
  <c r="J133" i="4"/>
  <c r="M140" i="4"/>
  <c r="E140" i="4" s="1"/>
  <c r="L140" i="4"/>
  <c r="D140" i="4" s="1"/>
  <c r="M145" i="4"/>
  <c r="E145" i="4" s="1"/>
  <c r="L145" i="4"/>
  <c r="D145" i="4" s="1"/>
  <c r="J145" i="4"/>
  <c r="B145" i="4" s="1"/>
  <c r="K145" i="4"/>
  <c r="C145" i="4" s="1"/>
  <c r="K139" i="4"/>
  <c r="J139" i="4"/>
  <c r="K138" i="4"/>
  <c r="J138" i="4"/>
  <c r="K135" i="4"/>
  <c r="J135" i="4"/>
  <c r="M134" i="4"/>
  <c r="L134" i="4"/>
  <c r="M146" i="4"/>
  <c r="E146" i="4" s="1"/>
  <c r="L146" i="4"/>
  <c r="D146" i="4" s="1"/>
</calcChain>
</file>

<file path=xl/sharedStrings.xml><?xml version="1.0" encoding="utf-8"?>
<sst xmlns="http://schemas.openxmlformats.org/spreadsheetml/2006/main" count="228" uniqueCount="166">
  <si>
    <t>Summe Einzel</t>
  </si>
  <si>
    <t>Mittel Einzel</t>
  </si>
  <si>
    <t>Range Einzel</t>
  </si>
  <si>
    <t>Anzahl (m) Einzel</t>
  </si>
  <si>
    <t>Summe kumuliert</t>
  </si>
  <si>
    <t>Mittel kumuliert</t>
  </si>
  <si>
    <t>Range kumuliert</t>
  </si>
  <si>
    <t>Anzahl (m) kumuliert</t>
  </si>
  <si>
    <t>Anzahl (n)</t>
  </si>
  <si>
    <t>Mittelwert (x quer)</t>
  </si>
  <si>
    <t>Bedingung Mittel</t>
  </si>
  <si>
    <t>Jede eingetragene Stich -</t>
  </si>
  <si>
    <t xml:space="preserve">probe muss  min. 3 und </t>
  </si>
  <si>
    <t>MW</t>
  </si>
  <si>
    <t>STICHPROBENREIHE B - G (sechs Erhebungen)</t>
  </si>
  <si>
    <t>Ks95</t>
  </si>
  <si>
    <t>Ks90</t>
  </si>
  <si>
    <t>massg.Ks</t>
  </si>
  <si>
    <t>ts90</t>
  </si>
  <si>
    <t>massg. ts</t>
  </si>
  <si>
    <t>Bed. 1 [% / 100]</t>
  </si>
  <si>
    <t>eff. Range</t>
  </si>
  <si>
    <t xml:space="preserve">MUTMASSLICHE FRAKTILWERTE VON NORMAL - VERTEILTEN POPULATIONEN IN DER BANDBREITE </t>
  </si>
  <si>
    <t>STATISTISCHE DATEN:</t>
  </si>
  <si>
    <t>Mittelwert der Stichprobe (xquer):</t>
  </si>
  <si>
    <t>Empirische Standardabweichung (s):</t>
  </si>
  <si>
    <t>Stichprobengrösse (n):</t>
  </si>
  <si>
    <t>Unteres % - Quantil (Prozentangabe)</t>
  </si>
  <si>
    <t xml:space="preserve">Oberes % - Quantil (Prozentangabe)      </t>
  </si>
  <si>
    <t xml:space="preserve">RESULTATE FÜR VERTRAUENSNIVEAU (VN %):         </t>
  </si>
  <si>
    <t>VN 90%</t>
  </si>
  <si>
    <t>VN 95%</t>
  </si>
  <si>
    <t>UNTERER FRAKTILWERT</t>
  </si>
  <si>
    <t>OBERER FRAKTILWERT</t>
  </si>
  <si>
    <t>Kennwerte:</t>
  </si>
  <si>
    <t>a(A)</t>
  </si>
  <si>
    <t>b(A)</t>
  </si>
  <si>
    <t>Aschätz ∞</t>
  </si>
  <si>
    <t>a(B)</t>
  </si>
  <si>
    <t>b(B)</t>
  </si>
  <si>
    <t>Bschätz ∞</t>
  </si>
  <si>
    <t>a(Ks schätz ∞)</t>
  </si>
  <si>
    <t>b(Ks schätz ∞)</t>
  </si>
  <si>
    <t>Ks schätz∞ schätz)</t>
  </si>
  <si>
    <t>Hilfsformeln zu Formelkoeffizienten :     A schätz</t>
  </si>
  <si>
    <t>B schätz</t>
  </si>
  <si>
    <t>Ks schätz∞</t>
  </si>
  <si>
    <t>15. November 2011 / Ba.</t>
  </si>
  <si>
    <r>
      <rPr>
        <sz val="9"/>
        <color theme="1"/>
        <rFont val="Calibri"/>
        <family val="2"/>
      </rPr>
      <t xml:space="preserve">Σ - </t>
    </r>
    <r>
      <rPr>
        <sz val="9"/>
        <color theme="1"/>
        <rFont val="Calibri"/>
        <family val="2"/>
        <scheme val="minor"/>
      </rPr>
      <t>MW</t>
    </r>
  </si>
  <si>
    <t xml:space="preserve"> &lt;REFERENZPROFIL BESCHREIBUNG&gt;</t>
  </si>
  <si>
    <t>Objekt - Kennziffer:</t>
  </si>
  <si>
    <t>VN 90</t>
  </si>
  <si>
    <t>VN 95</t>
  </si>
  <si>
    <t>ASG 1 [%]</t>
  </si>
  <si>
    <t>ASG 2.1 [%]</t>
  </si>
  <si>
    <t>ASG 2[%]</t>
  </si>
  <si>
    <t>ASG 2.2 [%]</t>
  </si>
  <si>
    <t>&lt;REFERENZPROFIL BESCHREIBUNG&gt;</t>
  </si>
  <si>
    <t>ASG.1[%]</t>
  </si>
  <si>
    <t>ASG 2.1[%]</t>
  </si>
  <si>
    <t>VN  =</t>
  </si>
  <si>
    <t>ASG2.2[%]</t>
  </si>
  <si>
    <t>Unterer Fraktilwert (Dimension)</t>
  </si>
  <si>
    <t>Oberer Fraktilwert (Dimension)</t>
  </si>
  <si>
    <t>UNTERSCHREITUNGSHÄUFIGKIT (%)</t>
  </si>
  <si>
    <t>ÜBERSCHREITUNGSHÄUFIGKEIT (%)</t>
  </si>
  <si>
    <t>massgebende</t>
  </si>
  <si>
    <t>Werte</t>
  </si>
  <si>
    <t>Aussengrenze</t>
  </si>
  <si>
    <t>WARNGRENZE</t>
  </si>
  <si>
    <t>ODER:</t>
  </si>
  <si>
    <t>(Dimension)</t>
  </si>
  <si>
    <t>Hilfsformeln zu Formelkoeffizienten :                         A schätz</t>
  </si>
  <si>
    <t>BEIDSEITIG (!):</t>
  </si>
  <si>
    <t>06.Oktober / Ba.</t>
  </si>
  <si>
    <t>EINSEITIG (!):</t>
  </si>
  <si>
    <t>massg.</t>
  </si>
  <si>
    <t>ts95</t>
  </si>
  <si>
    <t>%]</t>
  </si>
  <si>
    <t>Vorgabe [%]</t>
  </si>
  <si>
    <t>Quantil unten</t>
  </si>
  <si>
    <t>Standardabweichung (s) ±</t>
  </si>
  <si>
    <r>
      <t xml:space="preserve">ERGEBNISSE UND DARSTELLUNG DER </t>
    </r>
    <r>
      <rPr>
        <b/>
        <sz val="12"/>
        <color rgb="FF0070C0"/>
        <rFont val="Calibri"/>
        <family val="2"/>
        <scheme val="minor"/>
      </rPr>
      <t>AKKUMULIERTEN STICHPROBENSUMME</t>
    </r>
  </si>
  <si>
    <r>
      <t xml:space="preserve">ERGEBNISSE UND DARSTELLUNG DER </t>
    </r>
    <r>
      <rPr>
        <b/>
        <sz val="14"/>
        <color rgb="FF0070C0"/>
        <rFont val="Calibri"/>
        <family val="2"/>
        <scheme val="minor"/>
      </rPr>
      <t>EINZELNEN STICHPROBEN</t>
    </r>
  </si>
  <si>
    <t>Hilfswert blaue Linien Zähler:</t>
  </si>
  <si>
    <t>Hilfswert blaue Linie Nenner:</t>
  </si>
  <si>
    <t>Quotient blaue Linie %</t>
  </si>
  <si>
    <t>VERHÄLTNIS UNTERER FRAKTILWERT:</t>
  </si>
  <si>
    <t>VERHÄLTNIS OBERER FRAKTILWERT:</t>
  </si>
  <si>
    <t>Untere Aussengrenze (Dimension)</t>
  </si>
  <si>
    <t>EINGRIFF</t>
  </si>
  <si>
    <t>Obere Aussengrenze (Dimension)</t>
  </si>
  <si>
    <t>Σ Einzelwerte</t>
  </si>
  <si>
    <t>&lt; Mittelwert</t>
  </si>
  <si>
    <t>2.5%- Koeff.</t>
  </si>
  <si>
    <t>2.5% - Koeff.</t>
  </si>
  <si>
    <t>min.</t>
  </si>
  <si>
    <t>max.</t>
  </si>
  <si>
    <t>Summe Einzel oben</t>
  </si>
  <si>
    <t>Summe Einzel unten</t>
  </si>
  <si>
    <t xml:space="preserve"> </t>
  </si>
  <si>
    <t xml:space="preserve">Vertrauensniveau (VN) einseitig [%] </t>
  </si>
  <si>
    <t xml:space="preserve">ÜBERTRAG &lt;REFERENZPROFIL BESCHREIBUNG&gt; </t>
  </si>
  <si>
    <t>Konfidenz VN beidseitig [Wert] ±</t>
  </si>
  <si>
    <t>DATEN &lt;REFERENZPROFIL BESCHREIBUNG&gt;</t>
  </si>
  <si>
    <t xml:space="preserve">Vertrauensniveau (VN)* [%] </t>
  </si>
  <si>
    <t>für einseitiges Tol.-Intervall</t>
  </si>
  <si>
    <t>STICHPROBENREIHE H - M (sechs Erhebungen)</t>
  </si>
  <si>
    <t>DAS EINGETRAGENE BEISPIEL IST GESCHÜTZT UND KANN MIT KONKRETEN MESSWERTEN ÜBERSCHRIEBEN WERDEN. ANDERSEITS:  WO KEIN MESSWERT ZUM EINTRAG VORLIEGT, MÜSSEN FÜR KONKRETE AUSWERTUNGEN DIE ZELLEN LEER SEIN!</t>
  </si>
  <si>
    <t>STICHPROBENREIHE N - S (sechs Erhebungen)</t>
  </si>
  <si>
    <t>m</t>
  </si>
  <si>
    <t>ABFRAGE VON PROFILWERTEN JE NACH VORGABE [%]</t>
  </si>
  <si>
    <t>Ks95 =</t>
  </si>
  <si>
    <t>ts95 =</t>
  </si>
  <si>
    <t>Ks90 =</t>
  </si>
  <si>
    <t>ts90 =</t>
  </si>
  <si>
    <t>massg. Ks:</t>
  </si>
  <si>
    <t>massg. ts:</t>
  </si>
  <si>
    <t>eff Range:</t>
  </si>
  <si>
    <t>*VN = 95%  ist standardmässig  vorgegeben.</t>
  </si>
  <si>
    <t xml:space="preserve"> Jede abweichende Vorgabe in Zelle L26</t>
  </si>
  <si>
    <t>rechnet zwingend mit VN 90%!</t>
  </si>
  <si>
    <t>B.2 [%/100]</t>
  </si>
  <si>
    <t>&gt; Mittelwert</t>
  </si>
  <si>
    <t>ob. Grenze UNTEN</t>
  </si>
  <si>
    <t>unt. Grenze OBEN</t>
  </si>
  <si>
    <t>ob. Grenze OBEN</t>
  </si>
  <si>
    <t>max. 30 Werte aufweisen!</t>
  </si>
  <si>
    <t>Ausschuss UNTERHALB Mittel [%]</t>
  </si>
  <si>
    <t>Ausschuss OBERHALB Mittel [%]</t>
  </si>
  <si>
    <t>Summe Proben</t>
  </si>
  <si>
    <t>unt.  Grenze UNTEN</t>
  </si>
  <si>
    <r>
      <t xml:space="preserve">Quantil ob. </t>
    </r>
    <r>
      <rPr>
        <b/>
        <u/>
        <sz val="11"/>
        <color rgb="FF7030A0"/>
        <rFont val="Calibri"/>
        <family val="2"/>
        <scheme val="minor"/>
      </rPr>
      <t>oder</t>
    </r>
  </si>
  <si>
    <t>[%] beidseitig</t>
  </si>
  <si>
    <r>
      <rPr>
        <b/>
        <sz val="11"/>
        <color rgb="FFFF0000"/>
        <rFont val="Calibri"/>
        <family val="2"/>
        <scheme val="minor"/>
      </rPr>
      <t>KONFIDENZINTERVALL DER AUSSCHUSS - PROGNOSE</t>
    </r>
    <r>
      <rPr>
        <sz val="11"/>
        <color theme="1"/>
        <rFont val="Calibri"/>
        <family val="2"/>
        <scheme val="minor"/>
      </rPr>
      <t xml:space="preserve"> FOLGT JE NACH </t>
    </r>
    <r>
      <rPr>
        <b/>
        <sz val="11"/>
        <color rgb="FF0070C0"/>
        <rFont val="Calibri"/>
        <family val="2"/>
        <scheme val="minor"/>
      </rPr>
      <t>VN REFERENZPROFIL</t>
    </r>
    <r>
      <rPr>
        <sz val="11"/>
        <color theme="1"/>
        <rFont val="Calibri"/>
        <family val="2"/>
        <scheme val="minor"/>
      </rPr>
      <t xml:space="preserve">. HIER: 10^-2*95* </t>
    </r>
  </si>
  <si>
    <r>
      <rPr>
        <b/>
        <sz val="9"/>
        <color rgb="FF7030A0"/>
        <rFont val="Calibri"/>
        <family val="2"/>
        <scheme val="minor"/>
      </rPr>
      <t>VORGABE FÜR ABFRAGEN</t>
    </r>
    <r>
      <rPr>
        <sz val="9"/>
        <color rgb="FF7030A0"/>
        <rFont val="Calibri"/>
        <family val="2"/>
        <scheme val="minor"/>
      </rPr>
      <t xml:space="preserve"> (s. links): 0.1 </t>
    </r>
    <r>
      <rPr>
        <sz val="9"/>
        <color rgb="FF7030A0"/>
        <rFont val="Calibri"/>
        <family val="2"/>
      </rPr>
      <t>≤ [%] ≤10.0</t>
    </r>
  </si>
  <si>
    <t>unter dem Mittel:</t>
  </si>
  <si>
    <t>über dem Mittel:</t>
  </si>
  <si>
    <t>EINGABE: (+) WG oben   (0,10 ≤ WG ≤ 5,0) [%]</t>
  </si>
  <si>
    <t>EINGABE: (-) WG unten  (0,10 ≤ WG ≤ 5,0) [%]</t>
  </si>
  <si>
    <t xml:space="preserve">VERSTÄNDIGUNG: </t>
  </si>
  <si>
    <t>Der angegebene Ausschuss - Anteil (bezogen auf die Gesamtheit in der "unendlich grossen Urne") leitet sich aus jenen  Werten aus der Summe der</t>
  </si>
  <si>
    <t xml:space="preserve">Ausschuss - Anteil um tatsächlichen Ausschuss - also  ausserhalb des Referenzprofils liegend - handelt.  Werden als Warngrenze beispielsweise  </t>
  </si>
  <si>
    <t>2.5% vorgegeben, woraus ein (bezogener) "Auschuss"Anteil von bspw. 5.2% resultiert, so können daraus die zwei Anteile: a) &lt;zwischen Warngrenze</t>
  </si>
  <si>
    <t xml:space="preserve">und Profilgrenze&gt;, bzw. b) &lt;ausserhalb Profilgrenze&gt; (echter Ausschuss) dadurch bestimmt werden, dass vom Wert für die Warngrnze 2.5% </t>
  </si>
  <si>
    <t>der entsprechende Wert für die Warngrenze 0.1 % (gleich echter Ausschuss, z. B. 0.8%) in Abzug gebracht wird. Auf die Bandbreite &lt;zwischen</t>
  </si>
  <si>
    <t xml:space="preserve">DIE RESULTIERENDEN AUSSCHUSS - ANTEILE [%] BASIEREN AUF WARNGRENZEN [%] VON : </t>
  </si>
  <si>
    <t xml:space="preserve">als Warngrenze = 0.1 [%] vorgegeben, deckt sich die diese gerade mit der Profilgrenze, was bedeutet, dass es sich beim resultierenden </t>
  </si>
  <si>
    <t>Warngrenze und Profilgenze&gt; entfallen nach obigen Zahlen also (5.2 - 0.8) = 4.4% "unechter" (!) Ausschuss. Minuswerte in der Grafik</t>
  </si>
  <si>
    <t>Stichproben - Messungen ab, welche (mutmasslich) ausserhalb, d. h. unterhalb, bez. oberhalb der frei vorgegebenen Warngrenzen liegen. Wird</t>
  </si>
  <si>
    <t>Anzahl  WG</t>
  </si>
  <si>
    <t>Bed.2</t>
  </si>
  <si>
    <t>OBJEKT - KENNZIFFER:</t>
  </si>
  <si>
    <t>Erste 3 Werte ungleich Null!</t>
  </si>
  <si>
    <t xml:space="preserve">                  (minimal) 3</t>
  </si>
  <si>
    <t>Einzelwert Nr………..1</t>
  </si>
  <si>
    <t>Datum der Probe:</t>
  </si>
  <si>
    <t>Ausreisser?</t>
  </si>
  <si>
    <t xml:space="preserve">symbolisieren &lt;Auschuss - Anteile [%] UNTERHALB des Mittelwertes&gt;. </t>
  </si>
  <si>
    <t>Bedingung: Mindestens je 50 Einzelwerte unter, resp. über dem Mittelwert!</t>
  </si>
  <si>
    <t xml:space="preserve">VON 0.10% BIS 10.0% UNTERSCHREITUNGS - ODER ÜBERSCHREITUNGSHÄUFIGKEIT.  </t>
  </si>
  <si>
    <t>AUS STATISTISCHER AUSWERTUNG MIT STÜCKZAHL  5 ≤ n ≤ 1000, JE NACH VERTRAUENSNIVEAU (VN)</t>
  </si>
  <si>
    <t>AUS STATISTISCHER AUSWERTUNG MIT STÜCKZAHL  20≤ n ≤ 1000, JE NACH VERTRAUENSNIVEAU (VN)</t>
  </si>
  <si>
    <r>
      <t>VORGABEN</t>
    </r>
    <r>
      <rPr>
        <sz val="11"/>
        <color theme="0"/>
        <rFont val="Calibri"/>
        <family val="2"/>
        <scheme val="minor"/>
      </rPr>
      <t xml:space="preserve">: </t>
    </r>
    <r>
      <rPr>
        <b/>
        <sz val="10"/>
        <color theme="0"/>
        <rFont val="Arial"/>
        <family val="2"/>
      </rPr>
      <t>ENTWEDER:</t>
    </r>
  </si>
  <si>
    <r>
      <rPr>
        <sz val="11"/>
        <color theme="0"/>
        <rFont val="Calibri"/>
        <family val="2"/>
      </rPr>
      <t>≥</t>
    </r>
    <r>
      <rPr>
        <sz val="11"/>
        <color theme="0"/>
        <rFont val="Calibri"/>
        <family val="2"/>
        <scheme val="minor"/>
      </rPr>
      <t xml:space="preserve">  Mittelwert</t>
    </r>
  </si>
  <si>
    <t>Referenz - Mittelwert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</si>
</sst>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u/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92D05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9"/>
      <color rgb="FF7030A0"/>
      <name val="Calibri"/>
      <family val="2"/>
    </font>
    <font>
      <b/>
      <sz val="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9"/>
      <color theme="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2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b/>
      <i/>
      <sz val="10"/>
      <color theme="0"/>
      <name val="Arial"/>
      <family val="2"/>
    </font>
    <font>
      <sz val="11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6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hair">
        <color auto="1"/>
      </right>
      <top style="dotted">
        <color auto="1"/>
      </top>
      <bottom/>
      <diagonal/>
    </border>
    <border>
      <left style="hair">
        <color auto="1"/>
      </left>
      <right style="hair">
        <color auto="1"/>
      </right>
      <top style="dotted">
        <color auto="1"/>
      </top>
      <bottom/>
      <diagonal/>
    </border>
    <border>
      <left style="hair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</borders>
  <cellStyleXfs count="169">
    <xf numFmtId="0" fontId="0" fillId="0" borderId="0"/>
    <xf numFmtId="9" fontId="1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96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7" borderId="46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Protection="1">
      <protection locked="0"/>
    </xf>
    <xf numFmtId="0" fontId="0" fillId="2" borderId="24" xfId="0" applyFill="1" applyBorder="1" applyProtection="1"/>
    <xf numFmtId="0" fontId="19" fillId="2" borderId="19" xfId="0" applyFont="1" applyFill="1" applyBorder="1" applyProtection="1"/>
    <xf numFmtId="0" fontId="20" fillId="2" borderId="19" xfId="0" applyFont="1" applyFill="1" applyBorder="1" applyProtection="1"/>
    <xf numFmtId="0" fontId="0" fillId="2" borderId="25" xfId="0" applyFill="1" applyBorder="1" applyAlignment="1" applyProtection="1"/>
    <xf numFmtId="0" fontId="0" fillId="2" borderId="26" xfId="0" applyFill="1" applyBorder="1" applyAlignment="1" applyProtection="1"/>
    <xf numFmtId="0" fontId="2" fillId="2" borderId="0" xfId="0" applyFont="1" applyFill="1" applyBorder="1" applyProtection="1"/>
    <xf numFmtId="0" fontId="10" fillId="4" borderId="24" xfId="0" applyFont="1" applyFill="1" applyBorder="1" applyAlignment="1" applyProtection="1">
      <alignment horizontal="center"/>
    </xf>
    <xf numFmtId="0" fontId="10" fillId="4" borderId="46" xfId="0" applyFont="1" applyFill="1" applyBorder="1" applyAlignment="1" applyProtection="1">
      <alignment horizontal="center"/>
    </xf>
    <xf numFmtId="0" fontId="11" fillId="3" borderId="19" xfId="0" applyFont="1" applyFill="1" applyBorder="1" applyAlignment="1" applyProtection="1">
      <alignment horizontal="center"/>
    </xf>
    <xf numFmtId="0" fontId="10" fillId="4" borderId="31" xfId="0" applyFont="1" applyFill="1" applyBorder="1" applyAlignment="1" applyProtection="1">
      <alignment horizontal="center"/>
    </xf>
    <xf numFmtId="0" fontId="11" fillId="3" borderId="24" xfId="0" applyFont="1" applyFill="1" applyBorder="1" applyAlignment="1" applyProtection="1">
      <alignment horizontal="center"/>
    </xf>
    <xf numFmtId="0" fontId="10" fillId="4" borderId="26" xfId="0" applyFont="1" applyFill="1" applyBorder="1" applyAlignment="1" applyProtection="1">
      <alignment horizontal="center"/>
    </xf>
    <xf numFmtId="0" fontId="11" fillId="3" borderId="26" xfId="0" applyFont="1" applyFill="1" applyBorder="1" applyAlignment="1" applyProtection="1">
      <alignment horizontal="center"/>
    </xf>
    <xf numFmtId="0" fontId="10" fillId="4" borderId="43" xfId="0" applyFont="1" applyFill="1" applyBorder="1" applyAlignment="1" applyProtection="1">
      <alignment horizontal="center"/>
    </xf>
    <xf numFmtId="0" fontId="11" fillId="3" borderId="43" xfId="0" applyFont="1" applyFill="1" applyBorder="1" applyAlignment="1" applyProtection="1">
      <alignment horizontal="center"/>
    </xf>
    <xf numFmtId="0" fontId="10" fillId="4" borderId="61" xfId="0" applyFont="1" applyFill="1" applyBorder="1" applyAlignment="1" applyProtection="1">
      <alignment horizontal="center"/>
    </xf>
    <xf numFmtId="0" fontId="11" fillId="3" borderId="61" xfId="0" applyFont="1" applyFill="1" applyBorder="1" applyAlignment="1" applyProtection="1">
      <alignment horizontal="center"/>
    </xf>
    <xf numFmtId="0" fontId="10" fillId="0" borderId="24" xfId="0" applyFont="1" applyFill="1" applyBorder="1" applyProtection="1"/>
    <xf numFmtId="0" fontId="29" fillId="0" borderId="19" xfId="0" applyFont="1" applyFill="1" applyBorder="1" applyAlignment="1" applyProtection="1">
      <alignment horizontal="center"/>
    </xf>
    <xf numFmtId="0" fontId="43" fillId="0" borderId="19" xfId="0" applyFont="1" applyFill="1" applyBorder="1" applyAlignment="1" applyProtection="1">
      <alignment horizontal="center"/>
    </xf>
    <xf numFmtId="0" fontId="10" fillId="0" borderId="26" xfId="0" applyFont="1" applyFill="1" applyBorder="1" applyProtection="1"/>
    <xf numFmtId="0" fontId="29" fillId="0" borderId="0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horizontal="center"/>
    </xf>
    <xf numFmtId="0" fontId="0" fillId="0" borderId="26" xfId="0" applyFill="1" applyBorder="1" applyProtection="1"/>
    <xf numFmtId="0" fontId="29" fillId="0" borderId="0" xfId="0" applyFont="1" applyFill="1" applyBorder="1" applyProtection="1"/>
    <xf numFmtId="0" fontId="29" fillId="0" borderId="26" xfId="0" applyFont="1" applyFill="1" applyBorder="1" applyProtection="1"/>
    <xf numFmtId="0" fontId="30" fillId="0" borderId="26" xfId="0" applyFont="1" applyFill="1" applyBorder="1" applyAlignment="1" applyProtection="1">
      <alignment horizontal="left"/>
    </xf>
    <xf numFmtId="0" fontId="30" fillId="0" borderId="26" xfId="0" applyFont="1" applyFill="1" applyBorder="1" applyProtection="1"/>
    <xf numFmtId="0" fontId="43" fillId="0" borderId="0" xfId="0" applyFont="1" applyBorder="1" applyAlignment="1" applyProtection="1">
      <alignment horizontal="center"/>
    </xf>
    <xf numFmtId="0" fontId="42" fillId="0" borderId="28" xfId="0" applyFont="1" applyFill="1" applyBorder="1" applyProtection="1"/>
    <xf numFmtId="0" fontId="45" fillId="0" borderId="29" xfId="0" applyFont="1" applyFill="1" applyBorder="1" applyAlignment="1" applyProtection="1">
      <alignment horizontal="center"/>
    </xf>
    <xf numFmtId="0" fontId="42" fillId="0" borderId="29" xfId="0" applyFont="1" applyBorder="1" applyProtection="1"/>
    <xf numFmtId="0" fontId="14" fillId="4" borderId="24" xfId="0" applyFont="1" applyFill="1" applyBorder="1" applyAlignment="1" applyProtection="1"/>
    <xf numFmtId="0" fontId="13" fillId="3" borderId="66" xfId="0" applyFont="1" applyFill="1" applyBorder="1" applyAlignment="1" applyProtection="1">
      <alignment horizontal="center"/>
    </xf>
    <xf numFmtId="0" fontId="15" fillId="4" borderId="49" xfId="0" applyFont="1" applyFill="1" applyBorder="1" applyAlignment="1" applyProtection="1">
      <alignment horizontal="center"/>
    </xf>
    <xf numFmtId="0" fontId="14" fillId="4" borderId="32" xfId="0" applyFont="1" applyFill="1" applyBorder="1" applyAlignment="1" applyProtection="1">
      <alignment horizontal="center"/>
    </xf>
    <xf numFmtId="0" fontId="13" fillId="3" borderId="47" xfId="0" applyFont="1" applyFill="1" applyBorder="1" applyAlignment="1" applyProtection="1">
      <alignment horizontal="center"/>
    </xf>
    <xf numFmtId="0" fontId="15" fillId="4" borderId="33" xfId="0" applyFont="1" applyFill="1" applyBorder="1" applyAlignment="1" applyProtection="1">
      <alignment horizontal="center"/>
    </xf>
    <xf numFmtId="0" fontId="14" fillId="4" borderId="34" xfId="0" applyFont="1" applyFill="1" applyBorder="1" applyAlignment="1" applyProtection="1">
      <alignment horizontal="center"/>
    </xf>
    <xf numFmtId="0" fontId="13" fillId="3" borderId="35" xfId="0" applyFont="1" applyFill="1" applyBorder="1" applyAlignment="1" applyProtection="1">
      <alignment horizontal="center"/>
    </xf>
    <xf numFmtId="0" fontId="15" fillId="4" borderId="36" xfId="0" applyFont="1" applyFill="1" applyBorder="1" applyAlignment="1" applyProtection="1">
      <alignment horizontal="center"/>
    </xf>
    <xf numFmtId="0" fontId="14" fillId="4" borderId="37" xfId="0" applyFont="1" applyFill="1" applyBorder="1" applyAlignment="1" applyProtection="1">
      <alignment horizontal="center"/>
    </xf>
    <xf numFmtId="0" fontId="13" fillId="3" borderId="38" xfId="0" applyFont="1" applyFill="1" applyBorder="1" applyAlignment="1" applyProtection="1">
      <alignment horizontal="center"/>
    </xf>
    <xf numFmtId="0" fontId="15" fillId="4" borderId="39" xfId="0" applyFont="1" applyFill="1" applyBorder="1" applyAlignment="1" applyProtection="1">
      <alignment horizontal="center"/>
    </xf>
    <xf numFmtId="0" fontId="14" fillId="4" borderId="62" xfId="0" applyFont="1" applyFill="1" applyBorder="1" applyAlignment="1" applyProtection="1">
      <alignment horizontal="center"/>
    </xf>
    <xf numFmtId="0" fontId="13" fillId="3" borderId="63" xfId="0" applyFont="1" applyFill="1" applyBorder="1" applyAlignment="1" applyProtection="1">
      <alignment horizontal="center"/>
    </xf>
    <xf numFmtId="0" fontId="15" fillId="4" borderId="6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center"/>
    </xf>
    <xf numFmtId="0" fontId="30" fillId="0" borderId="0" xfId="0" applyFont="1" applyBorder="1" applyAlignment="1" applyProtection="1">
      <alignment horizontal="center"/>
    </xf>
    <xf numFmtId="0" fontId="43" fillId="0" borderId="27" xfId="0" applyFont="1" applyFill="1" applyBorder="1" applyAlignment="1" applyProtection="1">
      <alignment horizontal="center"/>
    </xf>
    <xf numFmtId="0" fontId="26" fillId="6" borderId="48" xfId="0" applyFont="1" applyFill="1" applyBorder="1" applyAlignment="1" applyProtection="1"/>
    <xf numFmtId="0" fontId="42" fillId="0" borderId="0" xfId="0" applyFont="1" applyBorder="1" applyAlignment="1" applyProtection="1">
      <alignment horizontal="center"/>
    </xf>
    <xf numFmtId="0" fontId="9" fillId="2" borderId="46" xfId="0" applyFont="1" applyFill="1" applyBorder="1" applyAlignment="1" applyProtection="1">
      <alignment horizontal="left"/>
    </xf>
    <xf numFmtId="0" fontId="41" fillId="0" borderId="29" xfId="0" applyFont="1" applyFill="1" applyBorder="1" applyAlignment="1" applyProtection="1"/>
    <xf numFmtId="0" fontId="30" fillId="0" borderId="25" xfId="0" applyFont="1" applyBorder="1" applyAlignment="1" applyProtection="1">
      <alignment horizontal="center"/>
    </xf>
    <xf numFmtId="0" fontId="30" fillId="0" borderId="27" xfId="0" applyFont="1" applyBorder="1" applyAlignment="1" applyProtection="1">
      <alignment horizontal="center"/>
    </xf>
    <xf numFmtId="0" fontId="44" fillId="0" borderId="27" xfId="0" applyFont="1" applyFill="1" applyBorder="1" applyAlignment="1" applyProtection="1">
      <alignment horizontal="center"/>
    </xf>
    <xf numFmtId="0" fontId="30" fillId="0" borderId="27" xfId="0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>
      <alignment horizontal="center"/>
    </xf>
    <xf numFmtId="0" fontId="43" fillId="0" borderId="29" xfId="0" applyFont="1" applyFill="1" applyBorder="1" applyAlignment="1" applyProtection="1">
      <alignment horizontal="center"/>
    </xf>
    <xf numFmtId="0" fontId="30" fillId="0" borderId="27" xfId="0" applyFont="1" applyFill="1" applyBorder="1" applyProtection="1"/>
    <xf numFmtId="0" fontId="24" fillId="6" borderId="50" xfId="0" applyFont="1" applyFill="1" applyBorder="1" applyAlignment="1" applyProtection="1"/>
    <xf numFmtId="0" fontId="24" fillId="6" borderId="49" xfId="0" applyFont="1" applyFill="1" applyBorder="1" applyAlignment="1" applyProtection="1"/>
    <xf numFmtId="0" fontId="26" fillId="6" borderId="46" xfId="0" applyFont="1" applyFill="1" applyBorder="1" applyAlignment="1" applyProtection="1">
      <alignment horizontal="center"/>
    </xf>
    <xf numFmtId="0" fontId="5" fillId="0" borderId="65" xfId="0" applyFont="1" applyFill="1" applyBorder="1" applyProtection="1"/>
    <xf numFmtId="0" fontId="26" fillId="6" borderId="46" xfId="0" applyFont="1" applyFill="1" applyBorder="1" applyAlignment="1" applyProtection="1">
      <alignment horizontal="left"/>
    </xf>
    <xf numFmtId="0" fontId="0" fillId="0" borderId="0" xfId="0" applyBorder="1" applyProtection="1"/>
    <xf numFmtId="0" fontId="0" fillId="0" borderId="29" xfId="0" applyBorder="1" applyProtection="1"/>
    <xf numFmtId="0" fontId="23" fillId="8" borderId="46" xfId="0" applyFont="1" applyFill="1" applyBorder="1" applyAlignment="1" applyProtection="1">
      <alignment horizontal="center"/>
    </xf>
    <xf numFmtId="0" fontId="5" fillId="2" borderId="24" xfId="0" applyFont="1" applyFill="1" applyBorder="1" applyProtection="1"/>
    <xf numFmtId="0" fontId="5" fillId="2" borderId="25" xfId="0" applyFont="1" applyFill="1" applyBorder="1" applyProtection="1"/>
    <xf numFmtId="0" fontId="5" fillId="2" borderId="65" xfId="0" applyFont="1" applyFill="1" applyBorder="1" applyProtection="1"/>
    <xf numFmtId="0" fontId="2" fillId="5" borderId="46" xfId="0" applyFont="1" applyFill="1" applyBorder="1" applyAlignment="1" applyProtection="1">
      <alignment horizontal="center"/>
    </xf>
    <xf numFmtId="0" fontId="6" fillId="2" borderId="26" xfId="0" applyFont="1" applyFill="1" applyBorder="1" applyProtection="1"/>
    <xf numFmtId="0" fontId="6" fillId="2" borderId="27" xfId="0" applyFont="1" applyFill="1" applyBorder="1" applyProtection="1"/>
    <xf numFmtId="0" fontId="0" fillId="2" borderId="27" xfId="0" applyFill="1" applyBorder="1" applyProtection="1"/>
    <xf numFmtId="0" fontId="1" fillId="2" borderId="31" xfId="0" applyFont="1" applyFill="1" applyBorder="1" applyProtection="1"/>
    <xf numFmtId="0" fontId="1" fillId="2" borderId="26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Protection="1"/>
    <xf numFmtId="0" fontId="0" fillId="0" borderId="27" xfId="0" applyBorder="1" applyProtection="1"/>
    <xf numFmtId="0" fontId="0" fillId="0" borderId="19" xfId="0" applyBorder="1" applyProtection="1"/>
    <xf numFmtId="0" fontId="0" fillId="0" borderId="19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3" fillId="0" borderId="0" xfId="0" applyFont="1" applyBorder="1" applyProtection="1"/>
    <xf numFmtId="0" fontId="0" fillId="0" borderId="0" xfId="0" applyFont="1" applyBorder="1" applyAlignment="1" applyProtection="1">
      <alignment horizontal="center"/>
    </xf>
    <xf numFmtId="0" fontId="0" fillId="0" borderId="26" xfId="0" applyBorder="1" applyProtection="1">
      <protection locked="0"/>
    </xf>
    <xf numFmtId="0" fontId="0" fillId="0" borderId="26" xfId="0" applyBorder="1" applyAlignment="1" applyProtection="1">
      <alignment horizontal="center"/>
      <protection locked="0"/>
    </xf>
    <xf numFmtId="0" fontId="41" fillId="0" borderId="0" xfId="0" applyFont="1" applyFill="1" applyBorder="1" applyProtection="1">
      <protection locked="0"/>
    </xf>
    <xf numFmtId="0" fontId="42" fillId="0" borderId="0" xfId="0" applyFont="1" applyFill="1" applyBorder="1" applyProtection="1">
      <protection locked="0"/>
    </xf>
    <xf numFmtId="0" fontId="4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21" fillId="2" borderId="19" xfId="0" applyFont="1" applyFill="1" applyBorder="1" applyAlignment="1" applyProtection="1"/>
    <xf numFmtId="0" fontId="0" fillId="2" borderId="19" xfId="0" applyFill="1" applyBorder="1" applyAlignment="1" applyProtection="1"/>
    <xf numFmtId="0" fontId="0" fillId="0" borderId="26" xfId="0" applyBorder="1" applyProtection="1"/>
    <xf numFmtId="0" fontId="10" fillId="4" borderId="45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/>
    </xf>
    <xf numFmtId="0" fontId="12" fillId="4" borderId="26" xfId="0" applyFont="1" applyFill="1" applyBorder="1" applyProtection="1"/>
    <xf numFmtId="0" fontId="13" fillId="3" borderId="0" xfId="0" applyFont="1" applyFill="1" applyBorder="1" applyProtection="1"/>
    <xf numFmtId="0" fontId="12" fillId="4" borderId="30" xfId="0" applyFont="1" applyFill="1" applyBorder="1" applyProtection="1"/>
    <xf numFmtId="0" fontId="0" fillId="0" borderId="0" xfId="0" applyBorder="1" applyAlignment="1" applyProtection="1">
      <alignment horizontal="right"/>
    </xf>
    <xf numFmtId="0" fontId="0" fillId="0" borderId="27" xfId="0" applyBorder="1" applyAlignment="1" applyProtection="1">
      <alignment horizontal="left"/>
    </xf>
    <xf numFmtId="0" fontId="12" fillId="4" borderId="32" xfId="0" applyFont="1" applyFill="1" applyBorder="1" applyAlignment="1" applyProtection="1">
      <alignment horizontal="center"/>
    </xf>
    <xf numFmtId="0" fontId="12" fillId="4" borderId="33" xfId="0" applyFont="1" applyFill="1" applyBorder="1" applyAlignment="1" applyProtection="1">
      <alignment horizontal="center"/>
    </xf>
    <xf numFmtId="0" fontId="12" fillId="4" borderId="34" xfId="0" applyFont="1" applyFill="1" applyBorder="1" applyAlignment="1" applyProtection="1">
      <alignment horizontal="center"/>
    </xf>
    <xf numFmtId="0" fontId="12" fillId="4" borderId="36" xfId="0" applyFont="1" applyFill="1" applyBorder="1" applyAlignment="1" applyProtection="1">
      <alignment horizontal="center"/>
    </xf>
    <xf numFmtId="0" fontId="12" fillId="0" borderId="26" xfId="0" applyFont="1" applyFill="1" applyBorder="1" applyAlignment="1" applyProtection="1">
      <alignment horizontal="center"/>
    </xf>
    <xf numFmtId="0" fontId="12" fillId="4" borderId="37" xfId="0" applyFont="1" applyFill="1" applyBorder="1" applyAlignment="1" applyProtection="1">
      <alignment horizontal="center"/>
    </xf>
    <xf numFmtId="0" fontId="12" fillId="4" borderId="39" xfId="0" applyFont="1" applyFill="1" applyBorder="1" applyAlignment="1" applyProtection="1">
      <alignment horizontal="center"/>
    </xf>
    <xf numFmtId="0" fontId="0" fillId="0" borderId="0" xfId="0" applyFont="1" applyBorder="1" applyProtection="1"/>
    <xf numFmtId="0" fontId="10" fillId="4" borderId="44" xfId="0" applyFont="1" applyFill="1" applyBorder="1" applyAlignment="1" applyProtection="1">
      <alignment horizontal="center"/>
    </xf>
    <xf numFmtId="0" fontId="11" fillId="3" borderId="44" xfId="0" applyFont="1" applyFill="1" applyBorder="1" applyAlignment="1" applyProtection="1">
      <alignment horizontal="center"/>
    </xf>
    <xf numFmtId="0" fontId="12" fillId="4" borderId="40" xfId="0" applyFont="1" applyFill="1" applyBorder="1" applyAlignment="1" applyProtection="1">
      <alignment horizontal="center"/>
    </xf>
    <xf numFmtId="0" fontId="13" fillId="3" borderId="41" xfId="0" applyFont="1" applyFill="1" applyBorder="1" applyAlignment="1" applyProtection="1">
      <alignment horizontal="center"/>
    </xf>
    <xf numFmtId="0" fontId="12" fillId="4" borderId="42" xfId="0" applyFont="1" applyFill="1" applyBorder="1" applyAlignment="1" applyProtection="1">
      <alignment horizontal="center"/>
    </xf>
    <xf numFmtId="0" fontId="29" fillId="0" borderId="24" xfId="0" applyFont="1" applyFill="1" applyBorder="1" applyProtection="1"/>
    <xf numFmtId="0" fontId="43" fillId="0" borderId="19" xfId="0" applyFont="1" applyFill="1" applyBorder="1" applyProtection="1"/>
    <xf numFmtId="0" fontId="42" fillId="0" borderId="19" xfId="0" applyFont="1" applyBorder="1" applyProtection="1"/>
    <xf numFmtId="0" fontId="41" fillId="0" borderId="0" xfId="0" applyFont="1" applyFill="1" applyBorder="1" applyProtection="1"/>
    <xf numFmtId="0" fontId="43" fillId="0" borderId="0" xfId="0" applyFont="1" applyFill="1" applyBorder="1" applyProtection="1"/>
    <xf numFmtId="0" fontId="42" fillId="0" borderId="0" xfId="0" applyFont="1" applyBorder="1" applyProtection="1"/>
    <xf numFmtId="0" fontId="42" fillId="0" borderId="0" xfId="0" applyFont="1" applyFill="1" applyBorder="1" applyProtection="1"/>
    <xf numFmtId="0" fontId="41" fillId="0" borderId="0" xfId="0" applyFont="1" applyFill="1" applyBorder="1" applyAlignment="1" applyProtection="1">
      <alignment horizontal="center"/>
    </xf>
    <xf numFmtId="0" fontId="23" fillId="4" borderId="24" xfId="0" applyFont="1" applyFill="1" applyBorder="1" applyProtection="1"/>
    <xf numFmtId="0" fontId="23" fillId="4" borderId="25" xfId="0" applyFont="1" applyFill="1" applyBorder="1" applyProtection="1"/>
    <xf numFmtId="0" fontId="0" fillId="4" borderId="26" xfId="0" applyFill="1" applyBorder="1" applyProtection="1"/>
    <xf numFmtId="0" fontId="7" fillId="4" borderId="27" xfId="0" applyFont="1" applyFill="1" applyBorder="1" applyAlignment="1" applyProtection="1">
      <alignment horizontal="center"/>
    </xf>
    <xf numFmtId="0" fontId="29" fillId="0" borderId="0" xfId="0" applyFont="1" applyBorder="1" applyProtection="1"/>
    <xf numFmtId="0" fontId="43" fillId="0" borderId="0" xfId="0" applyFont="1" applyFill="1" applyBorder="1" applyAlignment="1" applyProtection="1">
      <alignment horizontal="left"/>
    </xf>
    <xf numFmtId="0" fontId="7" fillId="4" borderId="30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/>
    <xf numFmtId="0" fontId="23" fillId="4" borderId="46" xfId="0" applyFont="1" applyFill="1" applyBorder="1" applyProtection="1"/>
    <xf numFmtId="0" fontId="23" fillId="4" borderId="46" xfId="0" applyFont="1" applyFill="1" applyBorder="1" applyAlignment="1" applyProtection="1">
      <alignment horizontal="center"/>
    </xf>
    <xf numFmtId="0" fontId="42" fillId="0" borderId="0" xfId="0" applyFont="1" applyFill="1" applyBorder="1" applyAlignment="1" applyProtection="1">
      <alignment horizontal="left"/>
    </xf>
    <xf numFmtId="0" fontId="36" fillId="2" borderId="46" xfId="0" applyFont="1" applyFill="1" applyBorder="1" applyProtection="1"/>
    <xf numFmtId="0" fontId="43" fillId="0" borderId="29" xfId="0" applyFont="1" applyFill="1" applyBorder="1" applyAlignment="1" applyProtection="1">
      <alignment horizontal="left"/>
    </xf>
    <xf numFmtId="0" fontId="41" fillId="0" borderId="29" xfId="0" applyFont="1" applyFill="1" applyBorder="1" applyProtection="1"/>
    <xf numFmtId="0" fontId="42" fillId="0" borderId="29" xfId="0" applyFont="1" applyFill="1" applyBorder="1" applyProtection="1"/>
    <xf numFmtId="0" fontId="41" fillId="0" borderId="29" xfId="0" applyFont="1" applyFill="1" applyBorder="1" applyAlignment="1" applyProtection="1">
      <alignment horizontal="center"/>
    </xf>
    <xf numFmtId="0" fontId="42" fillId="0" borderId="29" xfId="0" applyFont="1" applyFill="1" applyBorder="1" applyAlignment="1" applyProtection="1">
      <alignment horizontal="left"/>
    </xf>
    <xf numFmtId="0" fontId="41" fillId="0" borderId="29" xfId="0" quotePrefix="1" applyFont="1" applyFill="1" applyBorder="1" applyAlignment="1" applyProtection="1">
      <alignment horizontal="center"/>
    </xf>
    <xf numFmtId="0" fontId="47" fillId="0" borderId="29" xfId="0" applyFont="1" applyFill="1" applyBorder="1" applyProtection="1"/>
    <xf numFmtId="0" fontId="48" fillId="0" borderId="0" xfId="0" applyFont="1" applyFill="1" applyBorder="1" applyProtection="1">
      <protection locked="0"/>
    </xf>
    <xf numFmtId="0" fontId="49" fillId="0" borderId="0" xfId="0" applyFont="1" applyFill="1" applyBorder="1" applyProtection="1">
      <protection locked="0"/>
    </xf>
    <xf numFmtId="10" fontId="48" fillId="0" borderId="0" xfId="0" applyNumberFormat="1" applyFont="1" applyFill="1" applyBorder="1" applyProtection="1">
      <protection locked="0"/>
    </xf>
    <xf numFmtId="0" fontId="50" fillId="0" borderId="0" xfId="0" applyFont="1" applyFill="1" applyBorder="1" applyProtection="1">
      <protection locked="0"/>
    </xf>
    <xf numFmtId="0" fontId="51" fillId="0" borderId="0" xfId="0" applyFont="1" applyFill="1" applyBorder="1" applyProtection="1">
      <protection locked="0"/>
    </xf>
    <xf numFmtId="0" fontId="42" fillId="0" borderId="0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Protection="1">
      <protection locked="0"/>
    </xf>
    <xf numFmtId="0" fontId="5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52" fillId="0" borderId="0" xfId="0" applyFont="1" applyFill="1" applyBorder="1" applyAlignment="1" applyProtection="1">
      <alignment horizontal="right"/>
      <protection locked="0"/>
    </xf>
    <xf numFmtId="0" fontId="49" fillId="0" borderId="0" xfId="0" applyFont="1" applyFill="1" applyBorder="1" applyAlignment="1" applyProtection="1">
      <protection locked="0"/>
    </xf>
    <xf numFmtId="0" fontId="42" fillId="0" borderId="0" xfId="0" applyFont="1" applyFill="1" applyBorder="1" applyAlignment="1" applyProtection="1"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0" xfId="0" applyNumberFormat="1" applyFont="1" applyFill="1" applyBorder="1" applyAlignment="1" applyProtection="1">
      <alignment horizontal="center"/>
      <protection locked="0"/>
    </xf>
    <xf numFmtId="9" fontId="42" fillId="0" borderId="0" xfId="1" applyFont="1" applyFill="1" applyBorder="1" applyProtection="1">
      <protection locked="0"/>
    </xf>
    <xf numFmtId="0" fontId="30" fillId="0" borderId="0" xfId="0" applyFont="1" applyFill="1" applyBorder="1" applyProtection="1">
      <protection locked="0"/>
    </xf>
    <xf numFmtId="0" fontId="53" fillId="0" borderId="0" xfId="0" applyFont="1" applyFill="1" applyBorder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5" fillId="0" borderId="0" xfId="0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protection locked="0"/>
    </xf>
    <xf numFmtId="0" fontId="56" fillId="0" borderId="0" xfId="0" applyFont="1" applyFill="1" applyBorder="1" applyAlignment="1" applyProtection="1">
      <alignment horizontal="center"/>
      <protection locked="0"/>
    </xf>
    <xf numFmtId="0" fontId="53" fillId="0" borderId="0" xfId="0" applyFont="1" applyFill="1" applyBorder="1" applyAlignment="1" applyProtection="1">
      <alignment horizontal="center"/>
      <protection locked="0"/>
    </xf>
    <xf numFmtId="0" fontId="42" fillId="0" borderId="0" xfId="1" applyNumberFormat="1" applyFont="1" applyFill="1" applyBorder="1" applyAlignment="1" applyProtection="1">
      <alignment horizontal="center"/>
      <protection locked="0"/>
    </xf>
    <xf numFmtId="0" fontId="31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1" fillId="0" borderId="0" xfId="0" applyFont="1" applyProtection="1"/>
    <xf numFmtId="0" fontId="2" fillId="0" borderId="0" xfId="0" applyFont="1" applyProtection="1"/>
    <xf numFmtId="0" fontId="35" fillId="0" borderId="0" xfId="168" applyBorder="1" applyAlignment="1" applyProtection="1">
      <alignment horizontal="center"/>
      <protection locked="0"/>
    </xf>
    <xf numFmtId="0" fontId="35" fillId="0" borderId="0" xfId="168" applyAlignment="1" applyProtection="1">
      <alignment horizontal="center"/>
      <protection locked="0"/>
    </xf>
    <xf numFmtId="14" fontId="0" fillId="7" borderId="10" xfId="0" applyNumberFormat="1" applyFill="1" applyBorder="1" applyAlignment="1" applyProtection="1">
      <alignment horizontal="center"/>
      <protection locked="0"/>
    </xf>
    <xf numFmtId="14" fontId="0" fillId="7" borderId="11" xfId="0" applyNumberFormat="1" applyFill="1" applyBorder="1" applyAlignment="1" applyProtection="1">
      <alignment horizontal="center"/>
      <protection locked="0"/>
    </xf>
    <xf numFmtId="14" fontId="0" fillId="7" borderId="12" xfId="0" applyNumberFormat="1" applyFill="1" applyBorder="1" applyAlignment="1" applyProtection="1">
      <alignment horizontal="center"/>
      <protection locked="0"/>
    </xf>
    <xf numFmtId="14" fontId="0" fillId="7" borderId="52" xfId="0" applyNumberFormat="1" applyFill="1" applyBorder="1" applyAlignment="1" applyProtection="1">
      <alignment horizontal="center"/>
      <protection locked="0"/>
    </xf>
    <xf numFmtId="14" fontId="0" fillId="7" borderId="51" xfId="0" applyNumberForma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56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5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57" xfId="0" applyFill="1" applyBorder="1" applyAlignment="1" applyProtection="1">
      <alignment horizontal="center"/>
      <protection locked="0"/>
    </xf>
    <xf numFmtId="0" fontId="0" fillId="0" borderId="67" xfId="0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40" fillId="2" borderId="7" xfId="0" applyFont="1" applyFill="1" applyBorder="1" applyProtection="1"/>
    <xf numFmtId="0" fontId="40" fillId="2" borderId="8" xfId="0" applyFont="1" applyFill="1" applyBorder="1" applyProtection="1"/>
    <xf numFmtId="0" fontId="40" fillId="2" borderId="9" xfId="0" applyFont="1" applyFill="1" applyBorder="1" applyProtection="1"/>
    <xf numFmtId="0" fontId="0" fillId="2" borderId="6" xfId="0" applyFill="1" applyBorder="1" applyAlignment="1" applyProtection="1"/>
    <xf numFmtId="0" fontId="0" fillId="2" borderId="7" xfId="0" applyFill="1" applyBorder="1" applyAlignment="1" applyProtection="1"/>
    <xf numFmtId="0" fontId="0" fillId="2" borderId="8" xfId="0" applyFill="1" applyBorder="1" applyAlignment="1" applyProtection="1"/>
    <xf numFmtId="0" fontId="0" fillId="2" borderId="8" xfId="0" applyFill="1" applyBorder="1" applyAlignment="1" applyProtection="1">
      <alignment horizontal="center"/>
    </xf>
    <xf numFmtId="0" fontId="0" fillId="0" borderId="20" xfId="0" applyBorder="1" applyAlignment="1" applyProtection="1"/>
    <xf numFmtId="0" fontId="0" fillId="0" borderId="8" xfId="0" applyBorder="1" applyAlignment="1" applyProtection="1"/>
    <xf numFmtId="0" fontId="0" fillId="0" borderId="9" xfId="0" applyBorder="1" applyAlignment="1" applyProtection="1"/>
    <xf numFmtId="0" fontId="2" fillId="0" borderId="4" xfId="0" applyFont="1" applyBorder="1" applyProtection="1"/>
    <xf numFmtId="0" fontId="35" fillId="0" borderId="0" xfId="168" applyBorder="1" applyAlignment="1" applyProtection="1">
      <alignment horizontal="center"/>
    </xf>
    <xf numFmtId="0" fontId="35" fillId="0" borderId="5" xfId="168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2" fillId="0" borderId="2" xfId="0" applyFont="1" applyBorder="1" applyAlignment="1" applyProtection="1">
      <alignment horizontal="left"/>
    </xf>
    <xf numFmtId="0" fontId="42" fillId="0" borderId="2" xfId="0" applyFont="1" applyBorder="1" applyAlignment="1" applyProtection="1">
      <alignment horizontal="center"/>
    </xf>
    <xf numFmtId="0" fontId="42" fillId="0" borderId="0" xfId="0" applyFont="1" applyBorder="1" applyAlignment="1" applyProtection="1">
      <alignment horizontal="left"/>
    </xf>
    <xf numFmtId="0" fontId="42" fillId="0" borderId="0" xfId="0" applyFont="1" applyFill="1" applyBorder="1" applyAlignment="1" applyProtection="1">
      <alignment horizontal="center"/>
    </xf>
    <xf numFmtId="0" fontId="46" fillId="0" borderId="0" xfId="0" applyFont="1" applyBorder="1" applyAlignment="1" applyProtection="1">
      <alignment horizontal="center"/>
    </xf>
    <xf numFmtId="0" fontId="41" fillId="0" borderId="0" xfId="0" applyFont="1" applyBorder="1" applyAlignment="1" applyProtection="1">
      <alignment horizontal="center"/>
    </xf>
    <xf numFmtId="0" fontId="2" fillId="0" borderId="4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5" fillId="0" borderId="0" xfId="0" applyFont="1" applyProtection="1"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14" fontId="0" fillId="7" borderId="11" xfId="0" applyNumberFormat="1" applyFill="1" applyBorder="1" applyAlignment="1" applyProtection="1">
      <alignment horizontal="center"/>
    </xf>
    <xf numFmtId="14" fontId="0" fillId="7" borderId="12" xfId="0" applyNumberFormat="1" applyFill="1" applyBorder="1" applyAlignment="1" applyProtection="1">
      <alignment horizontal="center"/>
    </xf>
    <xf numFmtId="14" fontId="0" fillId="7" borderId="10" xfId="0" applyNumberFormat="1" applyFill="1" applyBorder="1" applyAlignment="1" applyProtection="1">
      <alignment horizontal="center"/>
    </xf>
    <xf numFmtId="0" fontId="5" fillId="0" borderId="55" xfId="0" applyFont="1" applyBorder="1" applyAlignment="1" applyProtection="1"/>
    <xf numFmtId="0" fontId="0" fillId="0" borderId="60" xfId="0" applyBorder="1" applyAlignment="1" applyProtection="1"/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19" fillId="0" borderId="19" xfId="0" applyFont="1" applyFill="1" applyBorder="1" applyAlignment="1" applyProtection="1">
      <alignment horizontal="center"/>
    </xf>
    <xf numFmtId="0" fontId="20" fillId="0" borderId="19" xfId="0" applyFont="1" applyFill="1" applyBorder="1" applyAlignment="1" applyProtection="1">
      <alignment horizontal="center"/>
    </xf>
    <xf numFmtId="0" fontId="20" fillId="0" borderId="25" xfId="0" applyFont="1" applyFill="1" applyBorder="1" applyAlignment="1" applyProtection="1">
      <alignment horizontal="center"/>
    </xf>
    <xf numFmtId="0" fontId="37" fillId="6" borderId="48" xfId="0" applyFont="1" applyFill="1" applyBorder="1" applyAlignment="1" applyProtection="1"/>
    <xf numFmtId="0" fontId="24" fillId="0" borderId="49" xfId="0" applyFont="1" applyBorder="1" applyAlignment="1" applyProtection="1"/>
    <xf numFmtId="0" fontId="2" fillId="7" borderId="29" xfId="0" applyFont="1" applyFill="1" applyBorder="1" applyAlignment="1" applyProtection="1">
      <alignment horizontal="center"/>
      <protection locked="0"/>
    </xf>
    <xf numFmtId="0" fontId="0" fillId="7" borderId="30" xfId="0" applyFill="1" applyBorder="1" applyAlignment="1" applyProtection="1">
      <protection locked="0"/>
    </xf>
    <xf numFmtId="0" fontId="22" fillId="0" borderId="24" xfId="0" applyFont="1" applyFill="1" applyBorder="1" applyAlignment="1" applyProtection="1">
      <alignment horizontal="center"/>
    </xf>
    <xf numFmtId="0" fontId="17" fillId="0" borderId="19" xfId="0" applyFont="1" applyFill="1" applyBorder="1" applyAlignment="1" applyProtection="1">
      <alignment horizontal="center"/>
    </xf>
    <xf numFmtId="0" fontId="17" fillId="0" borderId="25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0" borderId="27" xfId="0" applyBorder="1" applyAlignment="1" applyProtection="1"/>
    <xf numFmtId="0" fontId="42" fillId="0" borderId="0" xfId="0" applyFont="1" applyFill="1" applyBorder="1" applyAlignment="1" applyProtection="1">
      <alignment horizontal="center"/>
      <protection locked="0"/>
    </xf>
    <xf numFmtId="0" fontId="33" fillId="0" borderId="0" xfId="0" applyFont="1" applyProtection="1"/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/>
    </xf>
  </cellXfs>
  <cellStyles count="169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8" builtinId="8"/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CCFF"/>
      <color rgb="FF008000"/>
      <color rgb="FFFF66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 sz="1050" b="1"/>
              <a:t>INTEGRAL - REGELKARTE MIT AUSSCHÖPFUNGSGRADEN DER ZUL.</a:t>
            </a:r>
          </a:p>
          <a:p>
            <a:pPr>
              <a:defRPr sz="1050" b="1"/>
            </a:pPr>
            <a:r>
              <a:rPr lang="de-CH" sz="1050" b="1"/>
              <a:t>MAXIMALABWEICHUNG UND GABLWEITE DER STICHPROBEN -</a:t>
            </a:r>
          </a:p>
          <a:p>
            <a:pPr>
              <a:defRPr sz="1050" b="1"/>
            </a:pPr>
            <a:r>
              <a:rPr lang="de-CH" sz="1050" b="1"/>
              <a:t>MITTELWERTE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1273456314094758"/>
          <c:y val="0.20006844626967829"/>
          <c:w val="0.84894928565630323"/>
          <c:h val="0.68002797134957715"/>
        </c:manualLayout>
      </c:layout>
      <c:scatterChart>
        <c:scatterStyle val="smoothMarker"/>
        <c:varyColors val="0"/>
        <c:ser>
          <c:idx val="1"/>
          <c:order val="1"/>
          <c:tx>
            <c:v>Lage der Stichprobenmittel mit Schwankungsbereich für Bedingung 2</c:v>
          </c:tx>
          <c:spPr>
            <a:ln w="952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ash"/>
              </a:ln>
              <a:effectLst/>
            </c:spPr>
          </c:marker>
          <c:xVal>
            <c:numRef>
              <c:f>'&lt;BESCHREIBUNG&gt;EINZELSERIEN'!$C$4:$C$27</c:f>
              <c:numCache>
                <c:formatCode>General</c:formatCode>
                <c:ptCount val="24"/>
                <c:pt idx="0">
                  <c:v>63.6</c:v>
                </c:pt>
                <c:pt idx="1">
                  <c:v>50.1</c:v>
                </c:pt>
                <c:pt idx="2">
                  <c:v>63.5</c:v>
                </c:pt>
                <c:pt idx="3">
                  <c:v>51</c:v>
                </c:pt>
                <c:pt idx="4">
                  <c:v>43.9</c:v>
                </c:pt>
                <c:pt idx="5">
                  <c:v>50.5</c:v>
                </c:pt>
                <c:pt idx="6">
                  <c:v>67.599999999999994</c:v>
                </c:pt>
                <c:pt idx="7">
                  <c:v>57.5</c:v>
                </c:pt>
                <c:pt idx="8">
                  <c:v>62.2</c:v>
                </c:pt>
                <c:pt idx="9">
                  <c:v>110.6</c:v>
                </c:pt>
                <c:pt idx="10">
                  <c:v>57.2</c:v>
                </c:pt>
                <c:pt idx="11">
                  <c:v>76.8</c:v>
                </c:pt>
                <c:pt idx="12">
                  <c:v>53.5</c:v>
                </c:pt>
                <c:pt idx="13">
                  <c:v>45.6</c:v>
                </c:pt>
                <c:pt idx="14">
                  <c:v>47.4</c:v>
                </c:pt>
                <c:pt idx="15">
                  <c:v>64.099999999999994</c:v>
                </c:pt>
                <c:pt idx="16">
                  <c:v>29.5</c:v>
                </c:pt>
                <c:pt idx="17">
                  <c:v>24.2</c:v>
                </c:pt>
                <c:pt idx="18">
                  <c:v>0</c:v>
                </c:pt>
                <c:pt idx="19">
                  <c:v>200</c:v>
                </c:pt>
                <c:pt idx="20">
                  <c:v>66.849999999999994</c:v>
                </c:pt>
                <c:pt idx="21">
                  <c:v>66.849999999999994</c:v>
                </c:pt>
                <c:pt idx="22">
                  <c:v>66.849999999999994</c:v>
                </c:pt>
                <c:pt idx="23">
                  <c:v>66.849999999999994</c:v>
                </c:pt>
              </c:numCache>
            </c:numRef>
          </c:xVal>
          <c:yVal>
            <c:numRef>
              <c:f>'&lt;BESCHREIBUNG&gt;EINZELSERIEN'!$E$4:$E$27</c:f>
              <c:numCache>
                <c:formatCode>General</c:formatCode>
                <c:ptCount val="24"/>
                <c:pt idx="0">
                  <c:v>1.6500000000000004</c:v>
                </c:pt>
                <c:pt idx="1">
                  <c:v>-36.65</c:v>
                </c:pt>
                <c:pt idx="2">
                  <c:v>87.5</c:v>
                </c:pt>
                <c:pt idx="3">
                  <c:v>-28.15</c:v>
                </c:pt>
                <c:pt idx="4">
                  <c:v>29.85</c:v>
                </c:pt>
                <c:pt idx="5">
                  <c:v>59</c:v>
                </c:pt>
                <c:pt idx="6">
                  <c:v>6.3</c:v>
                </c:pt>
                <c:pt idx="7">
                  <c:v>-9.5</c:v>
                </c:pt>
                <c:pt idx="8">
                  <c:v>-24.799999999999997</c:v>
                </c:pt>
                <c:pt idx="9">
                  <c:v>-27.6</c:v>
                </c:pt>
                <c:pt idx="10">
                  <c:v>54.099999999999994</c:v>
                </c:pt>
                <c:pt idx="11">
                  <c:v>136.5</c:v>
                </c:pt>
                <c:pt idx="12">
                  <c:v>22.95</c:v>
                </c:pt>
                <c:pt idx="13">
                  <c:v>44.85</c:v>
                </c:pt>
                <c:pt idx="14">
                  <c:v>-5.9999999999999991</c:v>
                </c:pt>
                <c:pt idx="15">
                  <c:v>109.95</c:v>
                </c:pt>
                <c:pt idx="16">
                  <c:v>-50.1</c:v>
                </c:pt>
                <c:pt idx="17">
                  <c:v>-58.55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BA6-4BD6-B3ED-194D46FF0EE9}"/>
            </c:ext>
          </c:extLst>
        </c:ser>
        <c:ser>
          <c:idx val="3"/>
          <c:order val="3"/>
          <c:tx>
            <c:v>-</c:v>
          </c:tx>
          <c:spPr>
            <a:ln w="9525" cap="rnd">
              <a:solidFill>
                <a:srgbClr val="0070C0"/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'&lt;BESCHREIBUNG&gt;EINZELSERIEN'!$C$4:$C$27</c:f>
              <c:numCache>
                <c:formatCode>General</c:formatCode>
                <c:ptCount val="24"/>
                <c:pt idx="0">
                  <c:v>63.6</c:v>
                </c:pt>
                <c:pt idx="1">
                  <c:v>50.1</c:v>
                </c:pt>
                <c:pt idx="2">
                  <c:v>63.5</c:v>
                </c:pt>
                <c:pt idx="3">
                  <c:v>51</c:v>
                </c:pt>
                <c:pt idx="4">
                  <c:v>43.9</c:v>
                </c:pt>
                <c:pt idx="5">
                  <c:v>50.5</c:v>
                </c:pt>
                <c:pt idx="6">
                  <c:v>67.599999999999994</c:v>
                </c:pt>
                <c:pt idx="7">
                  <c:v>57.5</c:v>
                </c:pt>
                <c:pt idx="8">
                  <c:v>62.2</c:v>
                </c:pt>
                <c:pt idx="9">
                  <c:v>110.6</c:v>
                </c:pt>
                <c:pt idx="10">
                  <c:v>57.2</c:v>
                </c:pt>
                <c:pt idx="11">
                  <c:v>76.8</c:v>
                </c:pt>
                <c:pt idx="12">
                  <c:v>53.5</c:v>
                </c:pt>
                <c:pt idx="13">
                  <c:v>45.6</c:v>
                </c:pt>
                <c:pt idx="14">
                  <c:v>47.4</c:v>
                </c:pt>
                <c:pt idx="15">
                  <c:v>64.099999999999994</c:v>
                </c:pt>
                <c:pt idx="16">
                  <c:v>29.5</c:v>
                </c:pt>
                <c:pt idx="17">
                  <c:v>24.2</c:v>
                </c:pt>
                <c:pt idx="18">
                  <c:v>0</c:v>
                </c:pt>
                <c:pt idx="19">
                  <c:v>200</c:v>
                </c:pt>
                <c:pt idx="20">
                  <c:v>66.849999999999994</c:v>
                </c:pt>
                <c:pt idx="21">
                  <c:v>66.849999999999994</c:v>
                </c:pt>
                <c:pt idx="22">
                  <c:v>66.849999999999994</c:v>
                </c:pt>
                <c:pt idx="23">
                  <c:v>66.849999999999994</c:v>
                </c:pt>
              </c:numCache>
            </c:numRef>
          </c:xVal>
          <c:yVal>
            <c:numRef>
              <c:f>'&lt;BESCHREIBUNG&gt;EINZELSERIEN'!$G$4:$G$27</c:f>
              <c:numCache>
                <c:formatCode>General</c:formatCode>
                <c:ptCount val="24"/>
                <c:pt idx="18">
                  <c:v>66.849999999999994</c:v>
                </c:pt>
                <c:pt idx="19">
                  <c:v>66.849999999999994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BA6-4BD6-B3ED-194D46FF0EE9}"/>
            </c:ext>
          </c:extLst>
        </c:ser>
        <c:ser>
          <c:idx val="4"/>
          <c:order val="4"/>
          <c:tx>
            <c:v>-</c:v>
          </c:tx>
          <c:spPr>
            <a:ln w="9525" cap="rnd">
              <a:solidFill>
                <a:srgbClr val="0070C0"/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'&lt;BESCHREIBUNG&gt;EINZELSERIEN'!$C$4:$C$27</c:f>
              <c:numCache>
                <c:formatCode>General</c:formatCode>
                <c:ptCount val="24"/>
                <c:pt idx="0">
                  <c:v>63.6</c:v>
                </c:pt>
                <c:pt idx="1">
                  <c:v>50.1</c:v>
                </c:pt>
                <c:pt idx="2">
                  <c:v>63.5</c:v>
                </c:pt>
                <c:pt idx="3">
                  <c:v>51</c:v>
                </c:pt>
                <c:pt idx="4">
                  <c:v>43.9</c:v>
                </c:pt>
                <c:pt idx="5">
                  <c:v>50.5</c:v>
                </c:pt>
                <c:pt idx="6">
                  <c:v>67.599999999999994</c:v>
                </c:pt>
                <c:pt idx="7">
                  <c:v>57.5</c:v>
                </c:pt>
                <c:pt idx="8">
                  <c:v>62.2</c:v>
                </c:pt>
                <c:pt idx="9">
                  <c:v>110.6</c:v>
                </c:pt>
                <c:pt idx="10">
                  <c:v>57.2</c:v>
                </c:pt>
                <c:pt idx="11">
                  <c:v>76.8</c:v>
                </c:pt>
                <c:pt idx="12">
                  <c:v>53.5</c:v>
                </c:pt>
                <c:pt idx="13">
                  <c:v>45.6</c:v>
                </c:pt>
                <c:pt idx="14">
                  <c:v>47.4</c:v>
                </c:pt>
                <c:pt idx="15">
                  <c:v>64.099999999999994</c:v>
                </c:pt>
                <c:pt idx="16">
                  <c:v>29.5</c:v>
                </c:pt>
                <c:pt idx="17">
                  <c:v>24.2</c:v>
                </c:pt>
                <c:pt idx="18">
                  <c:v>0</c:v>
                </c:pt>
                <c:pt idx="19">
                  <c:v>200</c:v>
                </c:pt>
                <c:pt idx="20">
                  <c:v>66.849999999999994</c:v>
                </c:pt>
                <c:pt idx="21">
                  <c:v>66.849999999999994</c:v>
                </c:pt>
                <c:pt idx="22">
                  <c:v>66.849999999999994</c:v>
                </c:pt>
                <c:pt idx="23">
                  <c:v>66.849999999999994</c:v>
                </c:pt>
              </c:numCache>
            </c:numRef>
          </c:xVal>
          <c:yVal>
            <c:numRef>
              <c:f>'&lt;BESCHREIBUNG&gt;EINZELSERIEN'!$H$4:$H$27</c:f>
              <c:numCache>
                <c:formatCode>General</c:formatCode>
                <c:ptCount val="24"/>
                <c:pt idx="18">
                  <c:v>-66.849999999999994</c:v>
                </c:pt>
                <c:pt idx="19">
                  <c:v>-66.849999999999994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BA6-4BD6-B3ED-194D46FF0EE9}"/>
            </c:ext>
          </c:extLst>
        </c:ser>
        <c:ser>
          <c:idx val="5"/>
          <c:order val="5"/>
          <c:tx>
            <c:v>-</c:v>
          </c:tx>
          <c:spPr>
            <a:ln w="9525" cap="rnd">
              <a:solidFill>
                <a:srgbClr val="0070C0"/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'&lt;BESCHREIBUNG&gt;EINZELSERIEN'!$C$4:$C$27</c:f>
              <c:numCache>
                <c:formatCode>General</c:formatCode>
                <c:ptCount val="24"/>
                <c:pt idx="0">
                  <c:v>63.6</c:v>
                </c:pt>
                <c:pt idx="1">
                  <c:v>50.1</c:v>
                </c:pt>
                <c:pt idx="2">
                  <c:v>63.5</c:v>
                </c:pt>
                <c:pt idx="3">
                  <c:v>51</c:v>
                </c:pt>
                <c:pt idx="4">
                  <c:v>43.9</c:v>
                </c:pt>
                <c:pt idx="5">
                  <c:v>50.5</c:v>
                </c:pt>
                <c:pt idx="6">
                  <c:v>67.599999999999994</c:v>
                </c:pt>
                <c:pt idx="7">
                  <c:v>57.5</c:v>
                </c:pt>
                <c:pt idx="8">
                  <c:v>62.2</c:v>
                </c:pt>
                <c:pt idx="9">
                  <c:v>110.6</c:v>
                </c:pt>
                <c:pt idx="10">
                  <c:v>57.2</c:v>
                </c:pt>
                <c:pt idx="11">
                  <c:v>76.8</c:v>
                </c:pt>
                <c:pt idx="12">
                  <c:v>53.5</c:v>
                </c:pt>
                <c:pt idx="13">
                  <c:v>45.6</c:v>
                </c:pt>
                <c:pt idx="14">
                  <c:v>47.4</c:v>
                </c:pt>
                <c:pt idx="15">
                  <c:v>64.099999999999994</c:v>
                </c:pt>
                <c:pt idx="16">
                  <c:v>29.5</c:v>
                </c:pt>
                <c:pt idx="17">
                  <c:v>24.2</c:v>
                </c:pt>
                <c:pt idx="18">
                  <c:v>0</c:v>
                </c:pt>
                <c:pt idx="19">
                  <c:v>200</c:v>
                </c:pt>
                <c:pt idx="20">
                  <c:v>66.849999999999994</c:v>
                </c:pt>
                <c:pt idx="21">
                  <c:v>66.849999999999994</c:v>
                </c:pt>
                <c:pt idx="22">
                  <c:v>66.849999999999994</c:v>
                </c:pt>
                <c:pt idx="23">
                  <c:v>66.849999999999994</c:v>
                </c:pt>
              </c:numCache>
            </c:numRef>
          </c:xVal>
          <c:yVal>
            <c:numRef>
              <c:f>'&lt;BESCHREIBUNG&gt;EINZELSERIEN'!$I$4:$I$27</c:f>
              <c:numCache>
                <c:formatCode>General</c:formatCode>
                <c:ptCount val="24"/>
                <c:pt idx="20">
                  <c:v>500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BA6-4BD6-B3ED-194D46FF0EE9}"/>
            </c:ext>
          </c:extLst>
        </c:ser>
        <c:ser>
          <c:idx val="6"/>
          <c:order val="6"/>
          <c:tx>
            <c:v>-</c:v>
          </c:tx>
          <c:spPr>
            <a:ln w="9525" cap="rnd">
              <a:solidFill>
                <a:schemeClr val="accent1">
                  <a:lumMod val="60000"/>
                </a:schemeClr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'&lt;BESCHREIBUNG&gt;EINZELSERIEN'!$C$4:$C$27</c:f>
              <c:numCache>
                <c:formatCode>General</c:formatCode>
                <c:ptCount val="24"/>
                <c:pt idx="0">
                  <c:v>63.6</c:v>
                </c:pt>
                <c:pt idx="1">
                  <c:v>50.1</c:v>
                </c:pt>
                <c:pt idx="2">
                  <c:v>63.5</c:v>
                </c:pt>
                <c:pt idx="3">
                  <c:v>51</c:v>
                </c:pt>
                <c:pt idx="4">
                  <c:v>43.9</c:v>
                </c:pt>
                <c:pt idx="5">
                  <c:v>50.5</c:v>
                </c:pt>
                <c:pt idx="6">
                  <c:v>67.599999999999994</c:v>
                </c:pt>
                <c:pt idx="7">
                  <c:v>57.5</c:v>
                </c:pt>
                <c:pt idx="8">
                  <c:v>62.2</c:v>
                </c:pt>
                <c:pt idx="9">
                  <c:v>110.6</c:v>
                </c:pt>
                <c:pt idx="10">
                  <c:v>57.2</c:v>
                </c:pt>
                <c:pt idx="11">
                  <c:v>76.8</c:v>
                </c:pt>
                <c:pt idx="12">
                  <c:v>53.5</c:v>
                </c:pt>
                <c:pt idx="13">
                  <c:v>45.6</c:v>
                </c:pt>
                <c:pt idx="14">
                  <c:v>47.4</c:v>
                </c:pt>
                <c:pt idx="15">
                  <c:v>64.099999999999994</c:v>
                </c:pt>
                <c:pt idx="16">
                  <c:v>29.5</c:v>
                </c:pt>
                <c:pt idx="17">
                  <c:v>24.2</c:v>
                </c:pt>
                <c:pt idx="18">
                  <c:v>0</c:v>
                </c:pt>
                <c:pt idx="19">
                  <c:v>200</c:v>
                </c:pt>
                <c:pt idx="20">
                  <c:v>66.849999999999994</c:v>
                </c:pt>
                <c:pt idx="21">
                  <c:v>66.849999999999994</c:v>
                </c:pt>
                <c:pt idx="22">
                  <c:v>66.849999999999994</c:v>
                </c:pt>
                <c:pt idx="23">
                  <c:v>66.849999999999994</c:v>
                </c:pt>
              </c:numCache>
            </c:numRef>
          </c:xVal>
          <c:yVal>
            <c:numRef>
              <c:f>'&lt;BESCHREIBUNG&gt;EINZELSERIEN'!$J$4:$J$27</c:f>
              <c:numCache>
                <c:formatCode>General</c:formatCode>
                <c:ptCount val="24"/>
                <c:pt idx="22">
                  <c:v>-500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CBA6-4BD6-B3ED-194D46FF0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079280"/>
        <c:axId val="478071408"/>
      </c:scatterChart>
      <c:scatterChart>
        <c:scatterStyle val="lineMarker"/>
        <c:varyColors val="0"/>
        <c:ser>
          <c:idx val="0"/>
          <c:order val="0"/>
          <c:tx>
            <c:v>-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'&lt;BESCHREIBUNG&gt;EINZELSERIEN'!$C$4:$C$27</c:f>
              <c:numCache>
                <c:formatCode>General</c:formatCode>
                <c:ptCount val="24"/>
                <c:pt idx="0">
                  <c:v>63.6</c:v>
                </c:pt>
                <c:pt idx="1">
                  <c:v>50.1</c:v>
                </c:pt>
                <c:pt idx="2">
                  <c:v>63.5</c:v>
                </c:pt>
                <c:pt idx="3">
                  <c:v>51</c:v>
                </c:pt>
                <c:pt idx="4">
                  <c:v>43.9</c:v>
                </c:pt>
                <c:pt idx="5">
                  <c:v>50.5</c:v>
                </c:pt>
                <c:pt idx="6">
                  <c:v>67.599999999999994</c:v>
                </c:pt>
                <c:pt idx="7">
                  <c:v>57.5</c:v>
                </c:pt>
                <c:pt idx="8">
                  <c:v>62.2</c:v>
                </c:pt>
                <c:pt idx="9">
                  <c:v>110.6</c:v>
                </c:pt>
                <c:pt idx="10">
                  <c:v>57.2</c:v>
                </c:pt>
                <c:pt idx="11">
                  <c:v>76.8</c:v>
                </c:pt>
                <c:pt idx="12">
                  <c:v>53.5</c:v>
                </c:pt>
                <c:pt idx="13">
                  <c:v>45.6</c:v>
                </c:pt>
                <c:pt idx="14">
                  <c:v>47.4</c:v>
                </c:pt>
                <c:pt idx="15">
                  <c:v>64.099999999999994</c:v>
                </c:pt>
                <c:pt idx="16">
                  <c:v>29.5</c:v>
                </c:pt>
                <c:pt idx="17">
                  <c:v>24.2</c:v>
                </c:pt>
                <c:pt idx="18">
                  <c:v>0</c:v>
                </c:pt>
                <c:pt idx="19">
                  <c:v>200</c:v>
                </c:pt>
                <c:pt idx="20">
                  <c:v>66.849999999999994</c:v>
                </c:pt>
                <c:pt idx="21">
                  <c:v>66.849999999999994</c:v>
                </c:pt>
                <c:pt idx="22">
                  <c:v>66.849999999999994</c:v>
                </c:pt>
                <c:pt idx="23">
                  <c:v>66.849999999999994</c:v>
                </c:pt>
              </c:numCache>
            </c:numRef>
          </c:xVal>
          <c:yVal>
            <c:numRef>
              <c:f>'&lt;BESCHREIBUNG&gt;EINZELSERIEN'!$D$4:$D$27</c:f>
              <c:numCache>
                <c:formatCode>General</c:formatCode>
                <c:ptCount val="24"/>
                <c:pt idx="0">
                  <c:v>11.5</c:v>
                </c:pt>
                <c:pt idx="1">
                  <c:v>-25.9</c:v>
                </c:pt>
                <c:pt idx="2">
                  <c:v>99</c:v>
                </c:pt>
                <c:pt idx="3">
                  <c:v>-17.399999999999999</c:v>
                </c:pt>
                <c:pt idx="4">
                  <c:v>39.200000000000003</c:v>
                </c:pt>
                <c:pt idx="5">
                  <c:v>69.3</c:v>
                </c:pt>
                <c:pt idx="6">
                  <c:v>18.5</c:v>
                </c:pt>
                <c:pt idx="7">
                  <c:v>-1.2</c:v>
                </c:pt>
                <c:pt idx="8">
                  <c:v>-11.2</c:v>
                </c:pt>
                <c:pt idx="9">
                  <c:v>-22.2</c:v>
                </c:pt>
                <c:pt idx="10">
                  <c:v>66.599999999999994</c:v>
                </c:pt>
                <c:pt idx="11">
                  <c:v>148.69999999999999</c:v>
                </c:pt>
                <c:pt idx="12">
                  <c:v>31.3</c:v>
                </c:pt>
                <c:pt idx="13">
                  <c:v>53.7</c:v>
                </c:pt>
                <c:pt idx="14">
                  <c:v>5.9</c:v>
                </c:pt>
                <c:pt idx="15">
                  <c:v>115.9</c:v>
                </c:pt>
                <c:pt idx="16">
                  <c:v>-37.6</c:v>
                </c:pt>
                <c:pt idx="17">
                  <c:v>-52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A6-4BD6-B3ED-194D46FF0EE9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'&lt;BESCHREIBUNG&gt;EINZELSERIEN'!$C$4:$C$27</c:f>
              <c:numCache>
                <c:formatCode>General</c:formatCode>
                <c:ptCount val="24"/>
                <c:pt idx="0">
                  <c:v>63.6</c:v>
                </c:pt>
                <c:pt idx="1">
                  <c:v>50.1</c:v>
                </c:pt>
                <c:pt idx="2">
                  <c:v>63.5</c:v>
                </c:pt>
                <c:pt idx="3">
                  <c:v>51</c:v>
                </c:pt>
                <c:pt idx="4">
                  <c:v>43.9</c:v>
                </c:pt>
                <c:pt idx="5">
                  <c:v>50.5</c:v>
                </c:pt>
                <c:pt idx="6">
                  <c:v>67.599999999999994</c:v>
                </c:pt>
                <c:pt idx="7">
                  <c:v>57.5</c:v>
                </c:pt>
                <c:pt idx="8">
                  <c:v>62.2</c:v>
                </c:pt>
                <c:pt idx="9">
                  <c:v>110.6</c:v>
                </c:pt>
                <c:pt idx="10">
                  <c:v>57.2</c:v>
                </c:pt>
                <c:pt idx="11">
                  <c:v>76.8</c:v>
                </c:pt>
                <c:pt idx="12">
                  <c:v>53.5</c:v>
                </c:pt>
                <c:pt idx="13">
                  <c:v>45.6</c:v>
                </c:pt>
                <c:pt idx="14">
                  <c:v>47.4</c:v>
                </c:pt>
                <c:pt idx="15">
                  <c:v>64.099999999999994</c:v>
                </c:pt>
                <c:pt idx="16">
                  <c:v>29.5</c:v>
                </c:pt>
                <c:pt idx="17">
                  <c:v>24.2</c:v>
                </c:pt>
                <c:pt idx="18">
                  <c:v>0</c:v>
                </c:pt>
                <c:pt idx="19">
                  <c:v>200</c:v>
                </c:pt>
                <c:pt idx="20">
                  <c:v>66.849999999999994</c:v>
                </c:pt>
                <c:pt idx="21">
                  <c:v>66.849999999999994</c:v>
                </c:pt>
                <c:pt idx="22">
                  <c:v>66.849999999999994</c:v>
                </c:pt>
                <c:pt idx="23">
                  <c:v>66.849999999999994</c:v>
                </c:pt>
              </c:numCache>
            </c:numRef>
          </c:xVal>
          <c:yVal>
            <c:numRef>
              <c:f>'&lt;BESCHREIBUNG&gt;EINZELSERIEN'!$F$4:$F$27</c:f>
              <c:numCache>
                <c:formatCode>General</c:formatCode>
                <c:ptCount val="24"/>
                <c:pt idx="0">
                  <c:v>-8.1999999999999993</c:v>
                </c:pt>
                <c:pt idx="1">
                  <c:v>-47.4</c:v>
                </c:pt>
                <c:pt idx="2">
                  <c:v>76</c:v>
                </c:pt>
                <c:pt idx="3">
                  <c:v>-38.9</c:v>
                </c:pt>
                <c:pt idx="4">
                  <c:v>20.5</c:v>
                </c:pt>
                <c:pt idx="5">
                  <c:v>48.7</c:v>
                </c:pt>
                <c:pt idx="6">
                  <c:v>-5.9</c:v>
                </c:pt>
                <c:pt idx="7">
                  <c:v>-17.8</c:v>
                </c:pt>
                <c:pt idx="8">
                  <c:v>-38.4</c:v>
                </c:pt>
                <c:pt idx="9">
                  <c:v>-33</c:v>
                </c:pt>
                <c:pt idx="10">
                  <c:v>41.6</c:v>
                </c:pt>
                <c:pt idx="11">
                  <c:v>124.3</c:v>
                </c:pt>
                <c:pt idx="12">
                  <c:v>14.6</c:v>
                </c:pt>
                <c:pt idx="13">
                  <c:v>36</c:v>
                </c:pt>
                <c:pt idx="14">
                  <c:v>-17.899999999999999</c:v>
                </c:pt>
                <c:pt idx="15">
                  <c:v>104</c:v>
                </c:pt>
                <c:pt idx="16">
                  <c:v>-62.6</c:v>
                </c:pt>
                <c:pt idx="17">
                  <c:v>-65.099999999999994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BA6-4BD6-B3ED-194D46FF0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079280"/>
        <c:axId val="478071408"/>
      </c:scatterChart>
      <c:valAx>
        <c:axId val="478079280"/>
        <c:scaling>
          <c:orientation val="minMax"/>
          <c:max val="1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 sz="900"/>
                  <a:t>Ausschöpfunsgrad</a:t>
                </a:r>
                <a:r>
                  <a:rPr lang="de-CH" sz="900" baseline="0"/>
                  <a:t> [%] zur Profilgrenze nach Bedingung 1</a:t>
                </a:r>
              </a:p>
              <a:p>
                <a:pPr>
                  <a:defRPr sz="900"/>
                </a:pPr>
                <a:r>
                  <a:rPr lang="de-CH" sz="900" baseline="0"/>
                  <a:t>Rote Fläche: Profilbereich; Blaue Linien: Bezogene Warngrenzen je nach Vorgabe;</a:t>
                </a:r>
              </a:p>
              <a:p>
                <a:pPr>
                  <a:defRPr sz="900"/>
                </a:pPr>
                <a:r>
                  <a:rPr lang="de-CH" sz="900" baseline="0"/>
                  <a:t> Standard = 1% (Verständigung siehe Register &lt;Ausschuss - Ganglinien&gt;</a:t>
                </a:r>
                <a:endParaRPr lang="de-CH" sz="900"/>
              </a:p>
            </c:rich>
          </c:tx>
          <c:layout>
            <c:manualLayout>
              <c:xMode val="edge"/>
              <c:yMode val="edge"/>
              <c:x val="0.14152088914143462"/>
              <c:y val="0.876535264822666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8071408"/>
        <c:crosses val="autoZero"/>
        <c:crossBetween val="midCat"/>
        <c:majorUnit val="10"/>
      </c:valAx>
      <c:valAx>
        <c:axId val="478071408"/>
        <c:scaling>
          <c:orientation val="minMax"/>
          <c:max val="150"/>
          <c:min val="-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 sz="900"/>
                  <a:t>Ausschöpfungsgrad</a:t>
                </a:r>
                <a:r>
                  <a:rPr lang="de-CH" sz="900" baseline="0"/>
                  <a:t> mit Bandbreite  [%]  zur Profilgrenze </a:t>
                </a:r>
              </a:p>
              <a:p>
                <a:pPr>
                  <a:defRPr sz="900"/>
                </a:pPr>
                <a:r>
                  <a:rPr lang="de-CH" sz="900" baseline="0"/>
                  <a:t>nach Bedingung 2 </a:t>
                </a:r>
                <a:endParaRPr lang="de-CH" sz="900"/>
              </a:p>
            </c:rich>
          </c:tx>
          <c:layout>
            <c:manualLayout>
              <c:xMode val="edge"/>
              <c:yMode val="edge"/>
              <c:x val="7.9821122500731111E-3"/>
              <c:y val="0.162585328565090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8079280"/>
        <c:crosses val="autoZero"/>
        <c:crossBetween val="midCat"/>
        <c:maj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248755310225394"/>
          <c:y val="0.14560030612189903"/>
          <c:w val="0.6879302297264388"/>
          <c:h val="5.26098508733636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 horizontalDpi="-3" verticalDpi="-3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 sz="1000" b="1"/>
              <a:t>INTEGRAL - REGELKARTE MIT AUSSCHÖPFUNGSGRAD  DER</a:t>
            </a:r>
            <a:r>
              <a:rPr lang="de-CH" sz="1000" b="1" baseline="0"/>
              <a:t> ZUL. MAXIMALABWEICHUNG  UND GABELWEITE DES SUMMEN - MITTELS </a:t>
            </a:r>
            <a:endParaRPr lang="de-CH" sz="1000" b="1"/>
          </a:p>
        </c:rich>
      </c:tx>
      <c:layout>
        <c:manualLayout>
          <c:xMode val="edge"/>
          <c:yMode val="edge"/>
          <c:x val="0.12698377071124967"/>
          <c:y val="6.78886625933469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037559016002284"/>
          <c:y val="0.14983130904183536"/>
          <c:w val="0.82531243765915252"/>
          <c:h val="0.67445806369345529"/>
        </c:manualLayout>
      </c:layout>
      <c:scatterChart>
        <c:scatterStyle val="smoothMarker"/>
        <c:varyColors val="0"/>
        <c:ser>
          <c:idx val="1"/>
          <c:order val="0"/>
          <c:tx>
            <c:v>Lage des Mittelwertes der Stichprobensumme </c:v>
          </c:tx>
          <c:spPr>
            <a:ln w="952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ash"/>
              </a:ln>
              <a:effectLst/>
            </c:spPr>
          </c:marker>
          <c:xVal>
            <c:numRef>
              <c:f>'&lt;BESCHREIBUNG&gt; SERIENSUMME'!$C$4:$C$27</c:f>
              <c:numCache>
                <c:formatCode>General</c:formatCode>
                <c:ptCount val="24"/>
                <c:pt idx="0">
                  <c:v>63.6</c:v>
                </c:pt>
                <c:pt idx="1">
                  <c:v>60.3</c:v>
                </c:pt>
                <c:pt idx="2">
                  <c:v>75.5</c:v>
                </c:pt>
                <c:pt idx="3">
                  <c:v>75.5</c:v>
                </c:pt>
                <c:pt idx="4">
                  <c:v>75.5</c:v>
                </c:pt>
                <c:pt idx="5">
                  <c:v>75.5</c:v>
                </c:pt>
                <c:pt idx="6">
                  <c:v>75.5</c:v>
                </c:pt>
                <c:pt idx="7">
                  <c:v>75.5</c:v>
                </c:pt>
                <c:pt idx="8">
                  <c:v>75.5</c:v>
                </c:pt>
                <c:pt idx="9">
                  <c:v>117.3</c:v>
                </c:pt>
                <c:pt idx="10">
                  <c:v>117.3</c:v>
                </c:pt>
                <c:pt idx="11">
                  <c:v>123.6</c:v>
                </c:pt>
                <c:pt idx="12">
                  <c:v>123.6</c:v>
                </c:pt>
                <c:pt idx="13">
                  <c:v>123.6</c:v>
                </c:pt>
                <c:pt idx="14">
                  <c:v>123.6</c:v>
                </c:pt>
                <c:pt idx="15">
                  <c:v>130.9</c:v>
                </c:pt>
                <c:pt idx="16">
                  <c:v>130.9</c:v>
                </c:pt>
                <c:pt idx="17">
                  <c:v>130.9</c:v>
                </c:pt>
                <c:pt idx="18">
                  <c:v>0</c:v>
                </c:pt>
                <c:pt idx="19">
                  <c:v>200</c:v>
                </c:pt>
                <c:pt idx="20">
                  <c:v>66.849999999999994</c:v>
                </c:pt>
                <c:pt idx="21">
                  <c:v>66.849999999999994</c:v>
                </c:pt>
                <c:pt idx="22">
                  <c:v>66.849999999999994</c:v>
                </c:pt>
                <c:pt idx="23">
                  <c:v>66.849999999999994</c:v>
                </c:pt>
              </c:numCache>
            </c:numRef>
          </c:xVal>
          <c:yVal>
            <c:numRef>
              <c:f>'&lt;BESCHREIBUNG&gt; SERIENSUMME'!$E$4:$E$27</c:f>
              <c:numCache>
                <c:formatCode>General</c:formatCode>
                <c:ptCount val="24"/>
                <c:pt idx="0">
                  <c:v>1.6500000000000004</c:v>
                </c:pt>
                <c:pt idx="1">
                  <c:v>-24.400000000000002</c:v>
                </c:pt>
                <c:pt idx="2">
                  <c:v>27.55</c:v>
                </c:pt>
                <c:pt idx="3">
                  <c:v>11</c:v>
                </c:pt>
                <c:pt idx="4">
                  <c:v>17.099999999999998</c:v>
                </c:pt>
                <c:pt idx="5">
                  <c:v>28.549999999999997</c:v>
                </c:pt>
                <c:pt idx="6">
                  <c:v>24.75</c:v>
                </c:pt>
                <c:pt idx="7">
                  <c:v>21.35</c:v>
                </c:pt>
                <c:pt idx="8">
                  <c:v>12.049999999999999</c:v>
                </c:pt>
                <c:pt idx="9">
                  <c:v>7.85</c:v>
                </c:pt>
                <c:pt idx="10">
                  <c:v>14.75</c:v>
                </c:pt>
                <c:pt idx="11">
                  <c:v>30.45</c:v>
                </c:pt>
                <c:pt idx="12">
                  <c:v>30.95</c:v>
                </c:pt>
                <c:pt idx="13">
                  <c:v>33.25</c:v>
                </c:pt>
                <c:pt idx="14">
                  <c:v>30</c:v>
                </c:pt>
                <c:pt idx="15">
                  <c:v>34.950000000000003</c:v>
                </c:pt>
                <c:pt idx="16">
                  <c:v>31.1</c:v>
                </c:pt>
                <c:pt idx="17">
                  <c:v>23.65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93B-4CCB-8917-B09C9044E328}"/>
            </c:ext>
          </c:extLst>
        </c:ser>
        <c:ser>
          <c:idx val="3"/>
          <c:order val="1"/>
          <c:tx>
            <c:v>-</c:v>
          </c:tx>
          <c:spPr>
            <a:ln w="9525" cap="rnd">
              <a:solidFill>
                <a:srgbClr val="0070C0"/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'&lt;BESCHREIBUNG&gt; SERIENSUMME'!$C$4:$C$27</c:f>
              <c:numCache>
                <c:formatCode>General</c:formatCode>
                <c:ptCount val="24"/>
                <c:pt idx="0">
                  <c:v>63.6</c:v>
                </c:pt>
                <c:pt idx="1">
                  <c:v>60.3</c:v>
                </c:pt>
                <c:pt idx="2">
                  <c:v>75.5</c:v>
                </c:pt>
                <c:pt idx="3">
                  <c:v>75.5</c:v>
                </c:pt>
                <c:pt idx="4">
                  <c:v>75.5</c:v>
                </c:pt>
                <c:pt idx="5">
                  <c:v>75.5</c:v>
                </c:pt>
                <c:pt idx="6">
                  <c:v>75.5</c:v>
                </c:pt>
                <c:pt idx="7">
                  <c:v>75.5</c:v>
                </c:pt>
                <c:pt idx="8">
                  <c:v>75.5</c:v>
                </c:pt>
                <c:pt idx="9">
                  <c:v>117.3</c:v>
                </c:pt>
                <c:pt idx="10">
                  <c:v>117.3</c:v>
                </c:pt>
                <c:pt idx="11">
                  <c:v>123.6</c:v>
                </c:pt>
                <c:pt idx="12">
                  <c:v>123.6</c:v>
                </c:pt>
                <c:pt idx="13">
                  <c:v>123.6</c:v>
                </c:pt>
                <c:pt idx="14">
                  <c:v>123.6</c:v>
                </c:pt>
                <c:pt idx="15">
                  <c:v>130.9</c:v>
                </c:pt>
                <c:pt idx="16">
                  <c:v>130.9</c:v>
                </c:pt>
                <c:pt idx="17">
                  <c:v>130.9</c:v>
                </c:pt>
                <c:pt idx="18">
                  <c:v>0</c:v>
                </c:pt>
                <c:pt idx="19">
                  <c:v>200</c:v>
                </c:pt>
                <c:pt idx="20">
                  <c:v>66.849999999999994</c:v>
                </c:pt>
                <c:pt idx="21">
                  <c:v>66.849999999999994</c:v>
                </c:pt>
                <c:pt idx="22">
                  <c:v>66.849999999999994</c:v>
                </c:pt>
                <c:pt idx="23">
                  <c:v>66.849999999999994</c:v>
                </c:pt>
              </c:numCache>
            </c:numRef>
          </c:xVal>
          <c:yVal>
            <c:numRef>
              <c:f>'&lt;BESCHREIBUNG&gt; SERIENSUMME'!$G$4:$G$27</c:f>
              <c:numCache>
                <c:formatCode>General</c:formatCode>
                <c:ptCount val="24"/>
                <c:pt idx="18">
                  <c:v>66.849999999999994</c:v>
                </c:pt>
                <c:pt idx="19">
                  <c:v>66.849999999999994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93B-4CCB-8917-B09C9044E328}"/>
            </c:ext>
          </c:extLst>
        </c:ser>
        <c:ser>
          <c:idx val="4"/>
          <c:order val="2"/>
          <c:tx>
            <c:v>-</c:v>
          </c:tx>
          <c:spPr>
            <a:ln w="9525" cap="rnd">
              <a:solidFill>
                <a:schemeClr val="accent5"/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'&lt;BESCHREIBUNG&gt; SERIENSUMME'!$C$4:$C$27</c:f>
              <c:numCache>
                <c:formatCode>General</c:formatCode>
                <c:ptCount val="24"/>
                <c:pt idx="0">
                  <c:v>63.6</c:v>
                </c:pt>
                <c:pt idx="1">
                  <c:v>60.3</c:v>
                </c:pt>
                <c:pt idx="2">
                  <c:v>75.5</c:v>
                </c:pt>
                <c:pt idx="3">
                  <c:v>75.5</c:v>
                </c:pt>
                <c:pt idx="4">
                  <c:v>75.5</c:v>
                </c:pt>
                <c:pt idx="5">
                  <c:v>75.5</c:v>
                </c:pt>
                <c:pt idx="6">
                  <c:v>75.5</c:v>
                </c:pt>
                <c:pt idx="7">
                  <c:v>75.5</c:v>
                </c:pt>
                <c:pt idx="8">
                  <c:v>75.5</c:v>
                </c:pt>
                <c:pt idx="9">
                  <c:v>117.3</c:v>
                </c:pt>
                <c:pt idx="10">
                  <c:v>117.3</c:v>
                </c:pt>
                <c:pt idx="11">
                  <c:v>123.6</c:v>
                </c:pt>
                <c:pt idx="12">
                  <c:v>123.6</c:v>
                </c:pt>
                <c:pt idx="13">
                  <c:v>123.6</c:v>
                </c:pt>
                <c:pt idx="14">
                  <c:v>123.6</c:v>
                </c:pt>
                <c:pt idx="15">
                  <c:v>130.9</c:v>
                </c:pt>
                <c:pt idx="16">
                  <c:v>130.9</c:v>
                </c:pt>
                <c:pt idx="17">
                  <c:v>130.9</c:v>
                </c:pt>
                <c:pt idx="18">
                  <c:v>0</c:v>
                </c:pt>
                <c:pt idx="19">
                  <c:v>200</c:v>
                </c:pt>
                <c:pt idx="20">
                  <c:v>66.849999999999994</c:v>
                </c:pt>
                <c:pt idx="21">
                  <c:v>66.849999999999994</c:v>
                </c:pt>
                <c:pt idx="22">
                  <c:v>66.849999999999994</c:v>
                </c:pt>
                <c:pt idx="23">
                  <c:v>66.849999999999994</c:v>
                </c:pt>
              </c:numCache>
            </c:numRef>
          </c:xVal>
          <c:yVal>
            <c:numRef>
              <c:f>'&lt;BESCHREIBUNG&gt; SERIENSUMME'!$H$4:$H$27</c:f>
              <c:numCache>
                <c:formatCode>General</c:formatCode>
                <c:ptCount val="24"/>
                <c:pt idx="18">
                  <c:v>-66.849999999999994</c:v>
                </c:pt>
                <c:pt idx="19">
                  <c:v>-66.849999999999994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93B-4CCB-8917-B09C9044E328}"/>
            </c:ext>
          </c:extLst>
        </c:ser>
        <c:ser>
          <c:idx val="5"/>
          <c:order val="3"/>
          <c:tx>
            <c:v>-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Pt>
            <c:idx val="21"/>
            <c:marker>
              <c:symbol val="none"/>
            </c:marker>
            <c:bubble3D val="0"/>
            <c:spPr>
              <a:ln w="9525" cap="rnd">
                <a:solidFill>
                  <a:srgbClr val="0070C0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393B-4CCB-8917-B09C9044E328}"/>
              </c:ext>
            </c:extLst>
          </c:dPt>
          <c:xVal>
            <c:numRef>
              <c:f>'&lt;BESCHREIBUNG&gt; SERIENSUMME'!$C$4:$C$27</c:f>
              <c:numCache>
                <c:formatCode>General</c:formatCode>
                <c:ptCount val="24"/>
                <c:pt idx="0">
                  <c:v>63.6</c:v>
                </c:pt>
                <c:pt idx="1">
                  <c:v>60.3</c:v>
                </c:pt>
                <c:pt idx="2">
                  <c:v>75.5</c:v>
                </c:pt>
                <c:pt idx="3">
                  <c:v>75.5</c:v>
                </c:pt>
                <c:pt idx="4">
                  <c:v>75.5</c:v>
                </c:pt>
                <c:pt idx="5">
                  <c:v>75.5</c:v>
                </c:pt>
                <c:pt idx="6">
                  <c:v>75.5</c:v>
                </c:pt>
                <c:pt idx="7">
                  <c:v>75.5</c:v>
                </c:pt>
                <c:pt idx="8">
                  <c:v>75.5</c:v>
                </c:pt>
                <c:pt idx="9">
                  <c:v>117.3</c:v>
                </c:pt>
                <c:pt idx="10">
                  <c:v>117.3</c:v>
                </c:pt>
                <c:pt idx="11">
                  <c:v>123.6</c:v>
                </c:pt>
                <c:pt idx="12">
                  <c:v>123.6</c:v>
                </c:pt>
                <c:pt idx="13">
                  <c:v>123.6</c:v>
                </c:pt>
                <c:pt idx="14">
                  <c:v>123.6</c:v>
                </c:pt>
                <c:pt idx="15">
                  <c:v>130.9</c:v>
                </c:pt>
                <c:pt idx="16">
                  <c:v>130.9</c:v>
                </c:pt>
                <c:pt idx="17">
                  <c:v>130.9</c:v>
                </c:pt>
                <c:pt idx="18">
                  <c:v>0</c:v>
                </c:pt>
                <c:pt idx="19">
                  <c:v>200</c:v>
                </c:pt>
                <c:pt idx="20">
                  <c:v>66.849999999999994</c:v>
                </c:pt>
                <c:pt idx="21">
                  <c:v>66.849999999999994</c:v>
                </c:pt>
                <c:pt idx="22">
                  <c:v>66.849999999999994</c:v>
                </c:pt>
                <c:pt idx="23">
                  <c:v>66.849999999999994</c:v>
                </c:pt>
              </c:numCache>
            </c:numRef>
          </c:xVal>
          <c:yVal>
            <c:numRef>
              <c:f>'&lt;BESCHREIBUNG&gt; SERIENSUMME'!$I$4:$I$27</c:f>
              <c:numCache>
                <c:formatCode>General</c:formatCode>
                <c:ptCount val="24"/>
                <c:pt idx="20">
                  <c:v>500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93B-4CCB-8917-B09C9044E328}"/>
            </c:ext>
          </c:extLst>
        </c:ser>
        <c:ser>
          <c:idx val="6"/>
          <c:order val="4"/>
          <c:spPr>
            <a:ln w="9525" cap="rnd">
              <a:solidFill>
                <a:schemeClr val="accent1">
                  <a:lumMod val="60000"/>
                </a:schemeClr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'&lt;BESCHREIBUNG&gt; SERIENSUMME'!$C$4:$C$27</c:f>
              <c:numCache>
                <c:formatCode>General</c:formatCode>
                <c:ptCount val="24"/>
                <c:pt idx="0">
                  <c:v>63.6</c:v>
                </c:pt>
                <c:pt idx="1">
                  <c:v>60.3</c:v>
                </c:pt>
                <c:pt idx="2">
                  <c:v>75.5</c:v>
                </c:pt>
                <c:pt idx="3">
                  <c:v>75.5</c:v>
                </c:pt>
                <c:pt idx="4">
                  <c:v>75.5</c:v>
                </c:pt>
                <c:pt idx="5">
                  <c:v>75.5</c:v>
                </c:pt>
                <c:pt idx="6">
                  <c:v>75.5</c:v>
                </c:pt>
                <c:pt idx="7">
                  <c:v>75.5</c:v>
                </c:pt>
                <c:pt idx="8">
                  <c:v>75.5</c:v>
                </c:pt>
                <c:pt idx="9">
                  <c:v>117.3</c:v>
                </c:pt>
                <c:pt idx="10">
                  <c:v>117.3</c:v>
                </c:pt>
                <c:pt idx="11">
                  <c:v>123.6</c:v>
                </c:pt>
                <c:pt idx="12">
                  <c:v>123.6</c:v>
                </c:pt>
                <c:pt idx="13">
                  <c:v>123.6</c:v>
                </c:pt>
                <c:pt idx="14">
                  <c:v>123.6</c:v>
                </c:pt>
                <c:pt idx="15">
                  <c:v>130.9</c:v>
                </c:pt>
                <c:pt idx="16">
                  <c:v>130.9</c:v>
                </c:pt>
                <c:pt idx="17">
                  <c:v>130.9</c:v>
                </c:pt>
                <c:pt idx="18">
                  <c:v>0</c:v>
                </c:pt>
                <c:pt idx="19">
                  <c:v>200</c:v>
                </c:pt>
                <c:pt idx="20">
                  <c:v>66.849999999999994</c:v>
                </c:pt>
                <c:pt idx="21">
                  <c:v>66.849999999999994</c:v>
                </c:pt>
                <c:pt idx="22">
                  <c:v>66.849999999999994</c:v>
                </c:pt>
                <c:pt idx="23">
                  <c:v>66.849999999999994</c:v>
                </c:pt>
              </c:numCache>
            </c:numRef>
          </c:xVal>
          <c:yVal>
            <c:numRef>
              <c:f>'&lt;BESCHREIBUNG&gt; SERIENSUMME'!$J$4:$J$27</c:f>
              <c:numCache>
                <c:formatCode>General</c:formatCode>
                <c:ptCount val="24"/>
                <c:pt idx="22">
                  <c:v>-500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93B-4CCB-8917-B09C9044E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8940808"/>
        <c:axId val="318934248"/>
      </c:scatterChart>
      <c:valAx>
        <c:axId val="318940808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 sz="900"/>
                  <a:t>Ausschöpfungsgrad</a:t>
                </a:r>
                <a:r>
                  <a:rPr lang="de-CH" sz="900" baseline="0"/>
                  <a:t> [%] des </a:t>
                </a:r>
                <a:r>
                  <a:rPr lang="el-GR" sz="900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Σ</a:t>
                </a:r>
                <a:r>
                  <a:rPr lang="de-CH" sz="900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 - </a:t>
                </a:r>
                <a:r>
                  <a:rPr lang="de-CH" sz="900" baseline="0"/>
                  <a:t>Mittels zur Profilgrenze nach Bedingung 1 </a:t>
                </a:r>
              </a:p>
              <a:p>
                <a:pPr>
                  <a:defRPr/>
                </a:pPr>
                <a:r>
                  <a:rPr lang="de-CH" sz="900" baseline="0"/>
                  <a:t>Rote Fläche: Profilbereich; Blau: Bezogene Warngrenzen je nach Vorgabe;</a:t>
                </a:r>
              </a:p>
              <a:p>
                <a:pPr>
                  <a:defRPr/>
                </a:pPr>
                <a:r>
                  <a:rPr lang="de-CH" sz="900" baseline="0"/>
                  <a:t>Standard = 1% (Verständigung sihe Register &lt;Ausschuss - Ganglinien&gt;</a:t>
                </a:r>
                <a:endParaRPr lang="de-CH" sz="900"/>
              </a:p>
            </c:rich>
          </c:tx>
          <c:layout>
            <c:manualLayout>
              <c:xMode val="edge"/>
              <c:yMode val="edge"/>
              <c:x val="0.15088695135164737"/>
              <c:y val="0.851761799005893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8934248"/>
        <c:crosses val="autoZero"/>
        <c:crossBetween val="midCat"/>
        <c:majorUnit val="10"/>
      </c:valAx>
      <c:valAx>
        <c:axId val="318934248"/>
        <c:scaling>
          <c:orientation val="minMax"/>
          <c:max val="150"/>
          <c:min val="-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 sz="900"/>
                  <a:t>Ausschöpfungsgrad</a:t>
                </a:r>
                <a:r>
                  <a:rPr lang="de-CH" sz="900" baseline="0"/>
                  <a:t> [%] des </a:t>
                </a:r>
                <a:r>
                  <a:rPr lang="el-GR" sz="900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Σ</a:t>
                </a:r>
                <a:r>
                  <a:rPr lang="de-CH" sz="900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 - Mittels  zur Profilgrenze </a:t>
                </a:r>
              </a:p>
              <a:p>
                <a:pPr>
                  <a:defRPr sz="900"/>
                </a:pPr>
                <a:r>
                  <a:rPr lang="de-CH" sz="900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nach </a:t>
                </a:r>
                <a:r>
                  <a:rPr lang="de-CH" sz="900" baseline="0"/>
                  <a:t>Bedingung 2  </a:t>
                </a:r>
                <a:endParaRPr lang="de-CH" sz="900"/>
              </a:p>
            </c:rich>
          </c:tx>
          <c:layout>
            <c:manualLayout>
              <c:xMode val="edge"/>
              <c:yMode val="edge"/>
              <c:x val="1.751250662234247E-2"/>
              <c:y val="0.14851339865612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8940808"/>
        <c:crosses val="autoZero"/>
        <c:crossBetween val="midCat"/>
        <c:maj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559227227744072"/>
          <c:y val="0.10733872081779251"/>
          <c:w val="0.74868609940895992"/>
          <c:h val="4.22152551704967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 b="1"/>
              <a:t>AUSSCHUSS</a:t>
            </a:r>
            <a:r>
              <a:rPr lang="de-CH" b="1" baseline="0"/>
              <a:t> - GANGLINIEN ZUR INTEGRAL - REGELKARTE</a:t>
            </a:r>
          </a:p>
          <a:p>
            <a:pPr>
              <a:defRPr b="1"/>
            </a:pPr>
            <a:r>
              <a:rPr lang="de-CH" b="1" baseline="0"/>
              <a:t>(Ausschuss - Bandbreiten oberhalb und unterhalb der definierten Warngrenzen [%])</a:t>
            </a:r>
            <a:endParaRPr lang="de-CH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Ausschussanteil unterhalb der UNTEREN  Warngrenze; unterer Schätzwert [%]</c:v>
          </c:tx>
          <c:spPr>
            <a:ln w="95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'AUSSCHUSS - GANGLINIE'!$A$133:$A$150</c:f>
              <c:numCache>
                <c:formatCode>General</c:formatCode>
                <c:ptCount val="18"/>
                <c:pt idx="0">
                  <c:v>11</c:v>
                </c:pt>
                <c:pt idx="1">
                  <c:v>24</c:v>
                </c:pt>
                <c:pt idx="2">
                  <c:v>39</c:v>
                </c:pt>
                <c:pt idx="3">
                  <c:v>52</c:v>
                </c:pt>
                <c:pt idx="4">
                  <c:v>62</c:v>
                </c:pt>
                <c:pt idx="5">
                  <c:v>74</c:v>
                </c:pt>
                <c:pt idx="6">
                  <c:v>91</c:v>
                </c:pt>
                <c:pt idx="7">
                  <c:v>99</c:v>
                </c:pt>
                <c:pt idx="8">
                  <c:v>122</c:v>
                </c:pt>
                <c:pt idx="9">
                  <c:v>135</c:v>
                </c:pt>
                <c:pt idx="10">
                  <c:v>153</c:v>
                </c:pt>
                <c:pt idx="11">
                  <c:v>170</c:v>
                </c:pt>
                <c:pt idx="12">
                  <c:v>178</c:v>
                </c:pt>
                <c:pt idx="13">
                  <c:v>187</c:v>
                </c:pt>
                <c:pt idx="14">
                  <c:v>203</c:v>
                </c:pt>
                <c:pt idx="15">
                  <c:v>207</c:v>
                </c:pt>
                <c:pt idx="16">
                  <c:v>225</c:v>
                </c:pt>
                <c:pt idx="17">
                  <c:v>230</c:v>
                </c:pt>
              </c:numCache>
            </c:numRef>
          </c:xVal>
          <c:yVal>
            <c:numRef>
              <c:f>'AUSSCHUSS - GANGLINIE'!$B$133:$B$150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-4.1419026493345543E-2</c:v>
                </c:pt>
                <c:pt idx="10">
                  <c:v>-3.6546199847069596E-2</c:v>
                </c:pt>
                <c:pt idx="11">
                  <c:v>-3.2891579862362637E-2</c:v>
                </c:pt>
                <c:pt idx="12">
                  <c:v>-3.1413306610121615E-2</c:v>
                </c:pt>
                <c:pt idx="13">
                  <c:v>-2.9901436238511485E-2</c:v>
                </c:pt>
                <c:pt idx="14">
                  <c:v>-2.7544672791141124E-2</c:v>
                </c:pt>
                <c:pt idx="15">
                  <c:v>-2.7012408582616658E-2</c:v>
                </c:pt>
                <c:pt idx="16">
                  <c:v>-2.4851415896007322E-2</c:v>
                </c:pt>
                <c:pt idx="17">
                  <c:v>-2.3201529363492315E-2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72F-4DDC-B05B-B85CE903380A}"/>
            </c:ext>
          </c:extLst>
        </c:ser>
        <c:ser>
          <c:idx val="1"/>
          <c:order val="1"/>
          <c:tx>
            <c:v>Ausschussanteil unterhalb der UNTEREN Warngrenze; oberer Schätzwert [%]</c:v>
          </c:tx>
          <c:spPr>
            <a:ln w="9525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'AUSSCHUSS - GANGLINIE'!$A$133:$A$150</c:f>
              <c:numCache>
                <c:formatCode>General</c:formatCode>
                <c:ptCount val="18"/>
                <c:pt idx="0">
                  <c:v>11</c:v>
                </c:pt>
                <c:pt idx="1">
                  <c:v>24</c:v>
                </c:pt>
                <c:pt idx="2">
                  <c:v>39</c:v>
                </c:pt>
                <c:pt idx="3">
                  <c:v>52</c:v>
                </c:pt>
                <c:pt idx="4">
                  <c:v>62</c:v>
                </c:pt>
                <c:pt idx="5">
                  <c:v>74</c:v>
                </c:pt>
                <c:pt idx="6">
                  <c:v>91</c:v>
                </c:pt>
                <c:pt idx="7">
                  <c:v>99</c:v>
                </c:pt>
                <c:pt idx="8">
                  <c:v>122</c:v>
                </c:pt>
                <c:pt idx="9">
                  <c:v>135</c:v>
                </c:pt>
                <c:pt idx="10">
                  <c:v>153</c:v>
                </c:pt>
                <c:pt idx="11">
                  <c:v>170</c:v>
                </c:pt>
                <c:pt idx="12">
                  <c:v>178</c:v>
                </c:pt>
                <c:pt idx="13">
                  <c:v>187</c:v>
                </c:pt>
                <c:pt idx="14">
                  <c:v>203</c:v>
                </c:pt>
                <c:pt idx="15">
                  <c:v>207</c:v>
                </c:pt>
                <c:pt idx="16">
                  <c:v>225</c:v>
                </c:pt>
                <c:pt idx="17">
                  <c:v>230</c:v>
                </c:pt>
              </c:numCache>
            </c:numRef>
          </c:xVal>
          <c:yVal>
            <c:numRef>
              <c:f>'AUSSCHUSS - GANGLINIE'!$C$133:$C$150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-3.3287540072589485</c:v>
                </c:pt>
                <c:pt idx="9">
                  <c:v>-4.0194986276517692</c:v>
                </c:pt>
                <c:pt idx="10">
                  <c:v>-3.5466164361633261</c:v>
                </c:pt>
                <c:pt idx="11">
                  <c:v>-3.1919547925469933</c:v>
                </c:pt>
                <c:pt idx="12">
                  <c:v>-3.0484961501853309</c:v>
                </c:pt>
                <c:pt idx="13">
                  <c:v>-2.9017770841336303</c:v>
                </c:pt>
                <c:pt idx="14">
                  <c:v>-2.6730655898176794</c:v>
                </c:pt>
                <c:pt idx="15">
                  <c:v>-2.6214121484685453</c:v>
                </c:pt>
                <c:pt idx="16">
                  <c:v>-2.4116991765910618</c:v>
                </c:pt>
                <c:pt idx="17">
                  <c:v>-2.2515863681866759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72F-4DDC-B05B-B85CE903380A}"/>
            </c:ext>
          </c:extLst>
        </c:ser>
        <c:ser>
          <c:idx val="2"/>
          <c:order val="2"/>
          <c:tx>
            <c:v>Ausschussanteil oberhalb der OBEREN Warngrenze; unterer Schätzwert [%]</c:v>
          </c:tx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'AUSSCHUSS - GANGLINIE'!$A$133:$A$150</c:f>
              <c:numCache>
                <c:formatCode>General</c:formatCode>
                <c:ptCount val="18"/>
                <c:pt idx="0">
                  <c:v>11</c:v>
                </c:pt>
                <c:pt idx="1">
                  <c:v>24</c:v>
                </c:pt>
                <c:pt idx="2">
                  <c:v>39</c:v>
                </c:pt>
                <c:pt idx="3">
                  <c:v>52</c:v>
                </c:pt>
                <c:pt idx="4">
                  <c:v>62</c:v>
                </c:pt>
                <c:pt idx="5">
                  <c:v>74</c:v>
                </c:pt>
                <c:pt idx="6">
                  <c:v>91</c:v>
                </c:pt>
                <c:pt idx="7">
                  <c:v>99</c:v>
                </c:pt>
                <c:pt idx="8">
                  <c:v>122</c:v>
                </c:pt>
                <c:pt idx="9">
                  <c:v>135</c:v>
                </c:pt>
                <c:pt idx="10">
                  <c:v>153</c:v>
                </c:pt>
                <c:pt idx="11">
                  <c:v>170</c:v>
                </c:pt>
                <c:pt idx="12">
                  <c:v>178</c:v>
                </c:pt>
                <c:pt idx="13">
                  <c:v>187</c:v>
                </c:pt>
                <c:pt idx="14">
                  <c:v>203</c:v>
                </c:pt>
                <c:pt idx="15">
                  <c:v>207</c:v>
                </c:pt>
                <c:pt idx="16">
                  <c:v>225</c:v>
                </c:pt>
                <c:pt idx="17">
                  <c:v>230</c:v>
                </c:pt>
              </c:numCache>
            </c:numRef>
          </c:xVal>
          <c:yVal>
            <c:numRef>
              <c:f>'AUSSCHUSS - GANGLINIE'!$D$133:$D$150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0.1944624858967002</c:v>
                </c:pt>
                <c:pt idx="8">
                  <c:v>0.15780152544076492</c:v>
                </c:pt>
                <c:pt idx="9">
                  <c:v>0.14260582299091348</c:v>
                </c:pt>
                <c:pt idx="10">
                  <c:v>0.12582866734492365</c:v>
                </c:pt>
                <c:pt idx="11">
                  <c:v>0.55501120420873096</c:v>
                </c:pt>
                <c:pt idx="12">
                  <c:v>0.53006688042406891</c:v>
                </c:pt>
                <c:pt idx="13">
                  <c:v>0.50455564018975541</c:v>
                </c:pt>
                <c:pt idx="14">
                  <c:v>0.46478770795805058</c:v>
                </c:pt>
                <c:pt idx="15">
                  <c:v>0.75100835274660149</c:v>
                </c:pt>
                <c:pt idx="16">
                  <c:v>0.69092768452687336</c:v>
                </c:pt>
                <c:pt idx="17">
                  <c:v>0.6450569668819357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72F-4DDC-B05B-B85CE903380A}"/>
            </c:ext>
          </c:extLst>
        </c:ser>
        <c:ser>
          <c:idx val="3"/>
          <c:order val="3"/>
          <c:tx>
            <c:v>Ausschussanteil oberhalb der OBEREN Warngrenze; oberer Schätzwert [%]</c:v>
          </c:tx>
          <c:spPr>
            <a:ln w="952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'AUSSCHUSS - GANGLINIE'!$A$133:$A$150</c:f>
              <c:numCache>
                <c:formatCode>General</c:formatCode>
                <c:ptCount val="18"/>
                <c:pt idx="0">
                  <c:v>11</c:v>
                </c:pt>
                <c:pt idx="1">
                  <c:v>24</c:v>
                </c:pt>
                <c:pt idx="2">
                  <c:v>39</c:v>
                </c:pt>
                <c:pt idx="3">
                  <c:v>52</c:v>
                </c:pt>
                <c:pt idx="4">
                  <c:v>62</c:v>
                </c:pt>
                <c:pt idx="5">
                  <c:v>74</c:v>
                </c:pt>
                <c:pt idx="6">
                  <c:v>91</c:v>
                </c:pt>
                <c:pt idx="7">
                  <c:v>99</c:v>
                </c:pt>
                <c:pt idx="8">
                  <c:v>122</c:v>
                </c:pt>
                <c:pt idx="9">
                  <c:v>135</c:v>
                </c:pt>
                <c:pt idx="10">
                  <c:v>153</c:v>
                </c:pt>
                <c:pt idx="11">
                  <c:v>170</c:v>
                </c:pt>
                <c:pt idx="12">
                  <c:v>178</c:v>
                </c:pt>
                <c:pt idx="13">
                  <c:v>187</c:v>
                </c:pt>
                <c:pt idx="14">
                  <c:v>203</c:v>
                </c:pt>
                <c:pt idx="15">
                  <c:v>207</c:v>
                </c:pt>
                <c:pt idx="16">
                  <c:v>225</c:v>
                </c:pt>
                <c:pt idx="17">
                  <c:v>230</c:v>
                </c:pt>
              </c:numCache>
            </c:numRef>
          </c:xVal>
          <c:yVal>
            <c:numRef>
              <c:f>'AUSSCHUSS - GANGLINIE'!$E$133:$E$150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6.9941501625338596</c:v>
                </c:pt>
                <c:pt idx="8">
                  <c:v>5.6755808695971481</c:v>
                </c:pt>
                <c:pt idx="9">
                  <c:v>5.1290434525248303</c:v>
                </c:pt>
                <c:pt idx="10">
                  <c:v>4.5256265757572036</c:v>
                </c:pt>
                <c:pt idx="11">
                  <c:v>5.9409789589011552</c:v>
                </c:pt>
                <c:pt idx="12">
                  <c:v>5.6739686686134627</c:v>
                </c:pt>
                <c:pt idx="13">
                  <c:v>5.4008899626374136</c:v>
                </c:pt>
                <c:pt idx="14">
                  <c:v>4.9752040542521989</c:v>
                </c:pt>
                <c:pt idx="15">
                  <c:v>5.6406616576491002</c:v>
                </c:pt>
                <c:pt idx="16">
                  <c:v>5.1894087250371719</c:v>
                </c:pt>
                <c:pt idx="17">
                  <c:v>4.8448836644537909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72F-4DDC-B05B-B85CE9033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6322448"/>
        <c:axId val="556324088"/>
      </c:scatterChart>
      <c:valAx>
        <c:axId val="556322448"/>
        <c:scaling>
          <c:orientation val="minMax"/>
          <c:max val="5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Summe</a:t>
                </a:r>
                <a:r>
                  <a:rPr lang="de-CH" baseline="0"/>
                  <a:t> aller Messwerte</a:t>
                </a:r>
                <a:endParaRPr lang="de-CH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324088"/>
        <c:crosses val="autoZero"/>
        <c:crossBetween val="midCat"/>
        <c:majorUnit val="20"/>
      </c:valAx>
      <c:valAx>
        <c:axId val="556324088"/>
        <c:scaling>
          <c:orientation val="minMax"/>
          <c:max val="15"/>
          <c:min val="-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Bandbreiten der Ausschussanteile [%]</a:t>
                </a:r>
              </a:p>
              <a:p>
                <a:pPr>
                  <a:defRPr/>
                </a:pPr>
                <a:r>
                  <a:rPr lang="en-US"/>
                  <a:t> (+ = oberhalb oberem Toleranzwert; - = unterhalb unterem Toleranzwert)</a:t>
                </a:r>
              </a:p>
            </c:rich>
          </c:tx>
          <c:layout>
            <c:manualLayout>
              <c:xMode val="edge"/>
              <c:yMode val="edge"/>
              <c:x val="1.4907563987387483E-2"/>
              <c:y val="0.159841740079519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32244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landscape" horizontalDpi="-3" verticalDpi="-3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</xdr:colOff>
      <xdr:row>1</xdr:row>
      <xdr:rowOff>0</xdr:rowOff>
    </xdr:from>
    <xdr:to>
      <xdr:col>11</xdr:col>
      <xdr:colOff>754380</xdr:colOff>
      <xdr:row>20</xdr:row>
      <xdr:rowOff>152400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2E3ACBDC-24D3-4F03-BB78-0E30A834A0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701040</xdr:colOff>
      <xdr:row>8</xdr:row>
      <xdr:rowOff>22860</xdr:rowOff>
    </xdr:from>
    <xdr:ext cx="3322320" cy="1478280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8CD07BB9-A774-44CD-B8B1-24D5A14C986D}"/>
            </a:ext>
          </a:extLst>
        </xdr:cNvPr>
        <xdr:cNvSpPr txBox="1"/>
      </xdr:nvSpPr>
      <xdr:spPr>
        <a:xfrm>
          <a:off x="4038600" y="1531620"/>
          <a:ext cx="3322320" cy="14782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11</xdr:col>
      <xdr:colOff>121920</xdr:colOff>
      <xdr:row>5</xdr:row>
      <xdr:rowOff>43580</xdr:rowOff>
    </xdr:from>
    <xdr:ext cx="283791" cy="31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535B1191-9207-4D2D-9242-06FF10CF69E3}"/>
            </a:ext>
          </a:extLst>
        </xdr:cNvPr>
        <xdr:cNvSpPr txBox="1"/>
      </xdr:nvSpPr>
      <xdr:spPr>
        <a:xfrm flipV="1">
          <a:off x="8100060" y="1003700"/>
          <a:ext cx="283791" cy="31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CH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0.11283</cdr:x>
      <cdr:y>0.31568</cdr:y>
    </cdr:from>
    <cdr:to>
      <cdr:x>0.68124</cdr:x>
      <cdr:y>0.76375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AB3F1D77-D681-4D95-B81A-F1CFED9BB4F5}"/>
            </a:ext>
          </a:extLst>
        </cdr:cNvPr>
        <cdr:cNvSpPr txBox="1"/>
      </cdr:nvSpPr>
      <cdr:spPr>
        <a:xfrm xmlns:a="http://schemas.openxmlformats.org/drawingml/2006/main">
          <a:off x="609600" y="1181100"/>
          <a:ext cx="3070860" cy="1676400"/>
        </a:xfrm>
        <a:prstGeom xmlns:a="http://schemas.openxmlformats.org/drawingml/2006/main" prst="rect">
          <a:avLst/>
        </a:prstGeom>
        <a:solidFill xmlns:a="http://schemas.openxmlformats.org/drawingml/2006/main">
          <a:srgbClr val="FFCCFF">
            <a:alpha val="33000"/>
          </a:srgb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</xdr:colOff>
      <xdr:row>1</xdr:row>
      <xdr:rowOff>22860</xdr:rowOff>
    </xdr:from>
    <xdr:to>
      <xdr:col>11</xdr:col>
      <xdr:colOff>670560</xdr:colOff>
      <xdr:row>20</xdr:row>
      <xdr:rowOff>160020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FF3EA40-517C-4963-8B83-667608FDD6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685800</xdr:colOff>
      <xdr:row>10</xdr:row>
      <xdr:rowOff>30480</xdr:rowOff>
    </xdr:from>
    <xdr:ext cx="184731" cy="264560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8DBC5FC9-8C35-408B-BDD9-D2EA9B8869F5}"/>
            </a:ext>
          </a:extLst>
        </xdr:cNvPr>
        <xdr:cNvSpPr txBox="1"/>
      </xdr:nvSpPr>
      <xdr:spPr>
        <a:xfrm>
          <a:off x="608838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0.30333</cdr:x>
      <cdr:y>0.25</cdr:y>
    </cdr:from>
    <cdr:to>
      <cdr:x>0.50333</cdr:x>
      <cdr:y>0.58333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1ECA8BEF-929A-4A17-99E3-73489762E31E}"/>
            </a:ext>
          </a:extLst>
        </cdr:cNvPr>
        <cdr:cNvSpPr txBox="1"/>
      </cdr:nvSpPr>
      <cdr:spPr>
        <a:xfrm xmlns:a="http://schemas.openxmlformats.org/drawingml/2006/main">
          <a:off x="1386840" y="685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0.13264</cdr:x>
      <cdr:y>0.26007</cdr:y>
    </cdr:from>
    <cdr:to>
      <cdr:x>0.68107</cdr:x>
      <cdr:y>0.71245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446FA08C-6BD2-4EF8-8816-BA831B6C7D82}"/>
            </a:ext>
          </a:extLst>
        </cdr:cNvPr>
        <cdr:cNvSpPr txBox="1"/>
      </cdr:nvSpPr>
      <cdr:spPr>
        <a:xfrm xmlns:a="http://schemas.openxmlformats.org/drawingml/2006/main">
          <a:off x="678180" y="1082040"/>
          <a:ext cx="2804160" cy="1882140"/>
        </a:xfrm>
        <a:prstGeom xmlns:a="http://schemas.openxmlformats.org/drawingml/2006/main" prst="rect">
          <a:avLst/>
        </a:prstGeom>
        <a:solidFill xmlns:a="http://schemas.openxmlformats.org/drawingml/2006/main">
          <a:srgbClr val="FFCCFF">
            <a:alpha val="33000"/>
          </a:srgb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152</xdr:row>
      <xdr:rowOff>76200</xdr:rowOff>
    </xdr:from>
    <xdr:to>
      <xdr:col>8</xdr:col>
      <xdr:colOff>1028700</xdr:colOff>
      <xdr:row>172</xdr:row>
      <xdr:rowOff>167640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64054BDB-E19B-44EF-A583-BA8E3E3453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0.89933</cdr:x>
      <cdr:y>0.07114</cdr:y>
    </cdr:from>
    <cdr:to>
      <cdr:x>1</cdr:x>
      <cdr:y>0.31504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EBEEF9BA-FE8E-4C11-9A89-C42B1AC7646C}"/>
            </a:ext>
          </a:extLst>
        </cdr:cNvPr>
        <cdr:cNvSpPr txBox="1"/>
      </cdr:nvSpPr>
      <cdr:spPr>
        <a:xfrm xmlns:a="http://schemas.openxmlformats.org/drawingml/2006/main">
          <a:off x="8641080" y="2667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0.25698</cdr:x>
      <cdr:y>0.18699</cdr:y>
    </cdr:from>
    <cdr:to>
      <cdr:x>0.95977</cdr:x>
      <cdr:y>0.78049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A2BACFC8-F5BA-4DDF-8CCE-AC3224451696}"/>
            </a:ext>
          </a:extLst>
        </cdr:cNvPr>
        <cdr:cNvSpPr txBox="1"/>
      </cdr:nvSpPr>
      <cdr:spPr>
        <a:xfrm xmlns:a="http://schemas.openxmlformats.org/drawingml/2006/main">
          <a:off x="2385061" y="701033"/>
          <a:ext cx="6522720" cy="222505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  <a:alpha val="34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raphpad.com/quickcalcs/grubbs1/" TargetMode="External"/><Relationship Id="rId2" Type="http://schemas.openxmlformats.org/officeDocument/2006/relationships/hyperlink" Target="http://www.graphpad.com/quickcalcs/grubbs1/" TargetMode="External"/><Relationship Id="rId1" Type="http://schemas.openxmlformats.org/officeDocument/2006/relationships/hyperlink" Target="http://www.graphpad.com/quickcalcs/grubbs1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U67"/>
  <sheetViews>
    <sheetView tabSelected="1" workbookViewId="0">
      <selection activeCell="C58" sqref="C58"/>
    </sheetView>
  </sheetViews>
  <sheetFormatPr baseColWidth="10" defaultRowHeight="14.4" x14ac:dyDescent="0.3"/>
  <cols>
    <col min="1" max="1" width="17.77734375" style="1" customWidth="1"/>
    <col min="2" max="7" width="11.5546875" style="1"/>
    <col min="8" max="8" width="13.77734375" style="1" customWidth="1"/>
    <col min="9" max="9" width="13.44140625" style="1" customWidth="1"/>
    <col min="10" max="10" width="13.6640625" style="1" customWidth="1"/>
    <col min="11" max="11" width="12" style="1" customWidth="1"/>
    <col min="12" max="12" width="14.44140625" style="1" customWidth="1"/>
    <col min="13" max="13" width="14.109375" style="1" customWidth="1"/>
    <col min="14" max="14" width="13" style="1" customWidth="1"/>
    <col min="15" max="15" width="13.109375" style="1" customWidth="1"/>
    <col min="16" max="16" width="13" style="1" customWidth="1"/>
    <col min="17" max="17" width="13.6640625" style="1" customWidth="1"/>
    <col min="18" max="18" width="10.88671875" style="1" customWidth="1"/>
    <col min="19" max="19" width="11.109375" style="1" customWidth="1"/>
    <col min="20" max="20" width="11.5546875" style="1"/>
    <col min="21" max="21" width="12.44140625" style="1" customWidth="1"/>
    <col min="22" max="16384" width="11.5546875" style="1"/>
  </cols>
  <sheetData>
    <row r="1" spans="1:21" ht="15" thickBot="1" x14ac:dyDescent="0.35">
      <c r="A1" s="225" t="s">
        <v>11</v>
      </c>
      <c r="B1" s="266" t="s">
        <v>108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48"/>
      <c r="U1" s="249"/>
    </row>
    <row r="2" spans="1:21" ht="23.4" x14ac:dyDescent="0.45">
      <c r="A2" s="226" t="s">
        <v>12</v>
      </c>
      <c r="B2" s="268" t="s">
        <v>14</v>
      </c>
      <c r="C2" s="269"/>
      <c r="D2" s="269"/>
      <c r="E2" s="269"/>
      <c r="F2" s="269"/>
      <c r="G2" s="270"/>
      <c r="H2" s="271" t="s">
        <v>107</v>
      </c>
      <c r="I2" s="272"/>
      <c r="J2" s="272"/>
      <c r="K2" s="272"/>
      <c r="L2" s="272"/>
      <c r="M2" s="273"/>
      <c r="N2" s="271" t="s">
        <v>109</v>
      </c>
      <c r="O2" s="272"/>
      <c r="P2" s="272"/>
      <c r="Q2" s="272"/>
      <c r="R2" s="272"/>
      <c r="S2" s="272"/>
      <c r="T2" s="250"/>
      <c r="U2" s="251"/>
    </row>
    <row r="3" spans="1:21" x14ac:dyDescent="0.3">
      <c r="A3" s="226" t="s">
        <v>127</v>
      </c>
      <c r="B3" s="235" t="s">
        <v>152</v>
      </c>
      <c r="C3" s="76"/>
      <c r="D3" s="274">
        <f>'&lt;BESCHREIBUNG&gt;EINZELSERIEN'!$D$2</f>
        <v>125487</v>
      </c>
      <c r="E3" s="275"/>
      <c r="F3" s="275"/>
      <c r="G3" s="276"/>
      <c r="H3" s="235" t="s">
        <v>152</v>
      </c>
      <c r="I3" s="76"/>
      <c r="J3" s="274">
        <f>'&lt;BESCHREIBUNG&gt;EINZELSERIEN'!$D$2</f>
        <v>125487</v>
      </c>
      <c r="K3" s="274"/>
      <c r="L3" s="274"/>
      <c r="M3" s="276"/>
      <c r="N3" s="235" t="s">
        <v>152</v>
      </c>
      <c r="O3" s="76"/>
      <c r="P3" s="274">
        <f>'&lt;BESCHREIBUNG&gt;EINZELSERIEN'!$D$2</f>
        <v>125487</v>
      </c>
      <c r="Q3" s="275"/>
      <c r="R3" s="275"/>
      <c r="S3" s="276"/>
      <c r="T3" s="252"/>
      <c r="U3" s="3"/>
    </row>
    <row r="4" spans="1:21" s="253" customFormat="1" ht="15" thickBot="1" x14ac:dyDescent="0.35">
      <c r="A4" s="227" t="s">
        <v>153</v>
      </c>
      <c r="B4" s="183"/>
      <c r="C4" s="236"/>
      <c r="D4" s="186" t="s">
        <v>157</v>
      </c>
      <c r="E4" s="236"/>
      <c r="F4" s="236"/>
      <c r="G4" s="237"/>
      <c r="H4" s="238"/>
      <c r="I4" s="239"/>
      <c r="J4" s="239"/>
      <c r="K4" s="186" t="s">
        <v>157</v>
      </c>
      <c r="L4" s="239"/>
      <c r="M4" s="240"/>
      <c r="N4" s="238"/>
      <c r="O4" s="241"/>
      <c r="P4" s="187" t="s">
        <v>157</v>
      </c>
      <c r="Q4" s="241"/>
      <c r="R4" s="241"/>
      <c r="S4" s="241"/>
      <c r="T4" s="254"/>
      <c r="U4" s="255"/>
    </row>
    <row r="5" spans="1:21" ht="15" thickBot="1" x14ac:dyDescent="0.35">
      <c r="A5" s="228" t="s">
        <v>156</v>
      </c>
      <c r="B5" s="188">
        <v>42156</v>
      </c>
      <c r="C5" s="189">
        <v>42163</v>
      </c>
      <c r="D5" s="189">
        <v>42171</v>
      </c>
      <c r="E5" s="263">
        <v>42180</v>
      </c>
      <c r="F5" s="263">
        <v>42189</v>
      </c>
      <c r="G5" s="264">
        <v>42196</v>
      </c>
      <c r="H5" s="265">
        <v>42206</v>
      </c>
      <c r="I5" s="263">
        <v>42215</v>
      </c>
      <c r="J5" s="263">
        <v>42221</v>
      </c>
      <c r="K5" s="189">
        <v>42228</v>
      </c>
      <c r="L5" s="189">
        <v>42238</v>
      </c>
      <c r="M5" s="190">
        <v>42246</v>
      </c>
      <c r="N5" s="188">
        <v>42254</v>
      </c>
      <c r="O5" s="191">
        <v>42262</v>
      </c>
      <c r="P5" s="189">
        <v>42269</v>
      </c>
      <c r="Q5" s="189">
        <v>42277</v>
      </c>
      <c r="R5" s="189">
        <v>42287</v>
      </c>
      <c r="S5" s="192">
        <v>42294</v>
      </c>
      <c r="T5" s="256"/>
      <c r="U5" s="4"/>
    </row>
    <row r="6" spans="1:21" x14ac:dyDescent="0.3">
      <c r="A6" s="229" t="s">
        <v>155</v>
      </c>
      <c r="B6" s="193">
        <v>2.31</v>
      </c>
      <c r="C6" s="194">
        <v>2.13</v>
      </c>
      <c r="D6" s="195">
        <v>2.16</v>
      </c>
      <c r="E6" s="194">
        <v>2.3199999999999998</v>
      </c>
      <c r="F6" s="194">
        <v>1.95</v>
      </c>
      <c r="G6" s="196">
        <v>2.16</v>
      </c>
      <c r="H6" s="197">
        <v>2.13</v>
      </c>
      <c r="I6" s="198">
        <v>2.2999999999999998</v>
      </c>
      <c r="J6" s="194">
        <v>2.0299999999999998</v>
      </c>
      <c r="K6" s="194">
        <v>1.99</v>
      </c>
      <c r="L6" s="194">
        <v>2.0499999999999998</v>
      </c>
      <c r="M6" s="196">
        <v>2.21</v>
      </c>
      <c r="N6" s="199">
        <v>1.79</v>
      </c>
      <c r="O6" s="200">
        <v>2.11</v>
      </c>
      <c r="P6" s="194">
        <v>2.12</v>
      </c>
      <c r="Q6" s="194">
        <v>2.2400000000000002</v>
      </c>
      <c r="R6" s="194">
        <v>1.97</v>
      </c>
      <c r="S6" s="198">
        <v>1.95</v>
      </c>
      <c r="T6" s="201"/>
      <c r="U6" s="2"/>
    </row>
    <row r="7" spans="1:21" x14ac:dyDescent="0.3">
      <c r="A7" s="230">
        <v>2</v>
      </c>
      <c r="B7" s="193">
        <v>1.94</v>
      </c>
      <c r="C7" s="195">
        <v>1.9</v>
      </c>
      <c r="D7" s="195">
        <v>1.91</v>
      </c>
      <c r="E7" s="195">
        <v>1.94</v>
      </c>
      <c r="F7" s="195">
        <v>2.0099999999999998</v>
      </c>
      <c r="G7" s="202">
        <v>1.91</v>
      </c>
      <c r="H7" s="197">
        <v>2.5099999999999998</v>
      </c>
      <c r="I7" s="203">
        <v>1.74</v>
      </c>
      <c r="J7" s="195">
        <v>2.14</v>
      </c>
      <c r="K7" s="195">
        <v>1.93</v>
      </c>
      <c r="L7" s="195">
        <v>2.0699999999999998</v>
      </c>
      <c r="M7" s="202">
        <v>2.17</v>
      </c>
      <c r="N7" s="204">
        <v>2.09</v>
      </c>
      <c r="O7" s="205">
        <v>2.15</v>
      </c>
      <c r="P7" s="195">
        <v>2.11</v>
      </c>
      <c r="Q7" s="195">
        <v>2.39</v>
      </c>
      <c r="R7" s="195">
        <v>2.15</v>
      </c>
      <c r="S7" s="203">
        <v>1.87</v>
      </c>
      <c r="T7" s="201"/>
      <c r="U7" s="2"/>
    </row>
    <row r="8" spans="1:21" x14ac:dyDescent="0.3">
      <c r="A8" s="231" t="s">
        <v>154</v>
      </c>
      <c r="B8" s="193">
        <v>1.98</v>
      </c>
      <c r="C8" s="195">
        <v>1.76</v>
      </c>
      <c r="D8" s="195">
        <v>1.83</v>
      </c>
      <c r="E8" s="195">
        <v>1.93</v>
      </c>
      <c r="F8" s="195">
        <v>1.99</v>
      </c>
      <c r="G8" s="202">
        <v>1.83</v>
      </c>
      <c r="H8" s="197">
        <v>2.23</v>
      </c>
      <c r="I8" s="203">
        <v>1.91</v>
      </c>
      <c r="J8" s="195">
        <v>2.34</v>
      </c>
      <c r="K8" s="195">
        <v>1.95</v>
      </c>
      <c r="L8" s="195">
        <v>2.0699999999999998</v>
      </c>
      <c r="M8" s="202">
        <v>2.02</v>
      </c>
      <c r="N8" s="204">
        <v>2.12</v>
      </c>
      <c r="O8" s="205">
        <v>2.12</v>
      </c>
      <c r="P8" s="195">
        <v>1.93</v>
      </c>
      <c r="Q8" s="195">
        <v>2.1</v>
      </c>
      <c r="R8" s="195">
        <v>2.02</v>
      </c>
      <c r="S8" s="203">
        <v>1.83</v>
      </c>
      <c r="T8" s="201"/>
      <c r="U8" s="2"/>
    </row>
    <row r="9" spans="1:21" x14ac:dyDescent="0.3">
      <c r="A9" s="232">
        <v>4</v>
      </c>
      <c r="B9" s="206">
        <v>2.13</v>
      </c>
      <c r="C9" s="207">
        <v>2.27</v>
      </c>
      <c r="D9" s="207">
        <v>2.0499999999999998</v>
      </c>
      <c r="E9" s="207">
        <v>1.87</v>
      </c>
      <c r="F9" s="207">
        <v>1.94</v>
      </c>
      <c r="G9" s="208">
        <v>2.0499999999999998</v>
      </c>
      <c r="H9" s="209">
        <v>2.3199999999999998</v>
      </c>
      <c r="I9" s="210">
        <v>2.31</v>
      </c>
      <c r="J9" s="207">
        <v>1.68</v>
      </c>
      <c r="K9" s="207">
        <v>1.99</v>
      </c>
      <c r="L9" s="207">
        <v>2.08</v>
      </c>
      <c r="M9" s="208">
        <v>1.75</v>
      </c>
      <c r="N9" s="209">
        <v>1.94</v>
      </c>
      <c r="O9" s="211">
        <v>2</v>
      </c>
      <c r="P9" s="207">
        <v>1.98</v>
      </c>
      <c r="Q9" s="207">
        <v>2.66</v>
      </c>
      <c r="R9" s="207">
        <v>1.85</v>
      </c>
      <c r="S9" s="208">
        <v>2.0099999999999998</v>
      </c>
      <c r="T9" s="256"/>
      <c r="U9" s="4"/>
    </row>
    <row r="10" spans="1:21" x14ac:dyDescent="0.3">
      <c r="A10" s="233">
        <v>5</v>
      </c>
      <c r="B10" s="212">
        <v>1.85</v>
      </c>
      <c r="C10" s="213">
        <v>2.23</v>
      </c>
      <c r="D10" s="213">
        <v>2.11</v>
      </c>
      <c r="E10" s="213">
        <v>2.23</v>
      </c>
      <c r="F10" s="213">
        <v>1.97</v>
      </c>
      <c r="G10" s="214">
        <v>2.11</v>
      </c>
      <c r="H10" s="201">
        <v>1.94</v>
      </c>
      <c r="I10" s="215">
        <v>1.94</v>
      </c>
      <c r="J10" s="213">
        <v>1.86</v>
      </c>
      <c r="K10" s="213">
        <v>2.0099999999999998</v>
      </c>
      <c r="L10" s="213">
        <v>2.1</v>
      </c>
      <c r="M10" s="214">
        <v>1.89</v>
      </c>
      <c r="N10" s="216">
        <v>2.2400000000000002</v>
      </c>
      <c r="O10" s="217">
        <v>2.33</v>
      </c>
      <c r="P10" s="213">
        <v>2.0499999999999998</v>
      </c>
      <c r="Q10" s="213"/>
      <c r="R10" s="213">
        <v>2.02</v>
      </c>
      <c r="S10" s="215">
        <v>1.79</v>
      </c>
      <c r="T10" s="256"/>
      <c r="U10" s="4"/>
    </row>
    <row r="11" spans="1:21" x14ac:dyDescent="0.3">
      <c r="A11" s="233">
        <v>6</v>
      </c>
      <c r="B11" s="212">
        <v>2.0299999999999998</v>
      </c>
      <c r="C11" s="213">
        <v>2.15</v>
      </c>
      <c r="D11" s="213">
        <v>2.16</v>
      </c>
      <c r="E11" s="213">
        <v>2.0499999999999998</v>
      </c>
      <c r="F11" s="213">
        <v>2.21</v>
      </c>
      <c r="G11" s="214">
        <v>2.16</v>
      </c>
      <c r="H11" s="201">
        <v>1.93</v>
      </c>
      <c r="I11" s="215">
        <v>1.98</v>
      </c>
      <c r="J11" s="213">
        <v>2.2000000000000002</v>
      </c>
      <c r="K11" s="213">
        <v>1.94</v>
      </c>
      <c r="L11" s="213">
        <v>2.17</v>
      </c>
      <c r="M11" s="214">
        <v>2.23</v>
      </c>
      <c r="N11" s="216">
        <v>2.08</v>
      </c>
      <c r="O11" s="217">
        <v>1.87</v>
      </c>
      <c r="P11" s="213">
        <v>1.97</v>
      </c>
      <c r="Q11" s="213"/>
      <c r="R11" s="213">
        <v>2.08</v>
      </c>
      <c r="S11" s="215"/>
      <c r="T11" s="256"/>
      <c r="U11" s="4"/>
    </row>
    <row r="12" spans="1:21" x14ac:dyDescent="0.3">
      <c r="A12" s="233">
        <v>7</v>
      </c>
      <c r="B12" s="212">
        <v>2.14</v>
      </c>
      <c r="C12" s="213">
        <v>2</v>
      </c>
      <c r="D12" s="213">
        <v>2.19</v>
      </c>
      <c r="E12" s="213">
        <v>1.82</v>
      </c>
      <c r="F12" s="213">
        <v>2.2200000000000002</v>
      </c>
      <c r="G12" s="214">
        <v>2.19</v>
      </c>
      <c r="H12" s="201">
        <v>1.87</v>
      </c>
      <c r="I12" s="215">
        <v>2.13</v>
      </c>
      <c r="J12" s="213">
        <v>1.97</v>
      </c>
      <c r="K12" s="213">
        <v>1.97</v>
      </c>
      <c r="L12" s="213">
        <v>1.96</v>
      </c>
      <c r="M12" s="214">
        <v>2.58</v>
      </c>
      <c r="N12" s="216">
        <v>2.3199999999999998</v>
      </c>
      <c r="O12" s="217">
        <v>1.9</v>
      </c>
      <c r="P12" s="213">
        <v>1.83</v>
      </c>
      <c r="Q12" s="213"/>
      <c r="R12" s="213">
        <v>1.85</v>
      </c>
      <c r="S12" s="215"/>
      <c r="T12" s="256"/>
      <c r="U12" s="4"/>
    </row>
    <row r="13" spans="1:21" x14ac:dyDescent="0.3">
      <c r="A13" s="233">
        <v>8</v>
      </c>
      <c r="B13" s="212">
        <v>2.34</v>
      </c>
      <c r="C13" s="213">
        <v>2.12</v>
      </c>
      <c r="D13" s="213">
        <v>2.11</v>
      </c>
      <c r="E13" s="213">
        <v>2.21</v>
      </c>
      <c r="F13" s="213">
        <v>2.39</v>
      </c>
      <c r="G13" s="214">
        <v>2.11</v>
      </c>
      <c r="H13" s="201">
        <v>2.23</v>
      </c>
      <c r="I13" s="215">
        <v>1.85</v>
      </c>
      <c r="J13" s="213">
        <v>1.97</v>
      </c>
      <c r="K13" s="213">
        <v>2.21</v>
      </c>
      <c r="L13" s="213">
        <v>1.7</v>
      </c>
      <c r="M13" s="214">
        <v>2.2799999999999998</v>
      </c>
      <c r="N13" s="216">
        <v>2.1</v>
      </c>
      <c r="O13" s="217">
        <v>2.33</v>
      </c>
      <c r="P13" s="213">
        <v>2.06</v>
      </c>
      <c r="Q13" s="213"/>
      <c r="R13" s="213">
        <v>1.92</v>
      </c>
      <c r="S13" s="215"/>
      <c r="T13" s="256"/>
      <c r="U13" s="4"/>
    </row>
    <row r="14" spans="1:21" x14ac:dyDescent="0.3">
      <c r="A14" s="233">
        <v>9</v>
      </c>
      <c r="B14" s="218">
        <v>1.68</v>
      </c>
      <c r="C14" s="213">
        <v>1.74</v>
      </c>
      <c r="D14" s="213">
        <v>2.34</v>
      </c>
      <c r="E14" s="213">
        <v>1.98</v>
      </c>
      <c r="F14" s="213">
        <v>2.14</v>
      </c>
      <c r="G14" s="214">
        <v>2.34</v>
      </c>
      <c r="H14" s="201">
        <v>2.0499999999999998</v>
      </c>
      <c r="I14" s="213"/>
      <c r="J14" s="213">
        <v>2.36</v>
      </c>
      <c r="K14" s="213">
        <v>2.2200000000000002</v>
      </c>
      <c r="L14" s="213">
        <v>2</v>
      </c>
      <c r="M14" s="214">
        <v>2.31</v>
      </c>
      <c r="N14" s="216"/>
      <c r="O14" s="217">
        <v>2.2999999999999998</v>
      </c>
      <c r="P14" s="213">
        <v>1.86</v>
      </c>
      <c r="Q14" s="213"/>
      <c r="R14" s="213">
        <v>1.95</v>
      </c>
      <c r="S14" s="215"/>
      <c r="T14" s="256"/>
      <c r="U14" s="4"/>
    </row>
    <row r="15" spans="1:21" x14ac:dyDescent="0.3">
      <c r="A15" s="233">
        <v>10</v>
      </c>
      <c r="B15" s="218">
        <v>1.86</v>
      </c>
      <c r="C15" s="213">
        <v>1.94</v>
      </c>
      <c r="D15" s="213">
        <v>2.09</v>
      </c>
      <c r="E15" s="213">
        <v>1.78</v>
      </c>
      <c r="F15" s="213">
        <v>2.1</v>
      </c>
      <c r="G15" s="214">
        <v>2.09</v>
      </c>
      <c r="H15" s="201">
        <v>1.82</v>
      </c>
      <c r="I15" s="213"/>
      <c r="J15" s="213">
        <v>1.88</v>
      </c>
      <c r="K15" s="213">
        <v>2.39</v>
      </c>
      <c r="L15" s="213">
        <v>2.16</v>
      </c>
      <c r="M15" s="214">
        <v>2.3199999999999998</v>
      </c>
      <c r="N15" s="216"/>
      <c r="O15" s="217"/>
      <c r="P15" s="213">
        <v>2.0499999999999998</v>
      </c>
      <c r="Q15" s="213"/>
      <c r="R15" s="213">
        <v>2.13</v>
      </c>
      <c r="S15" s="215"/>
      <c r="T15" s="256"/>
      <c r="U15" s="4"/>
    </row>
    <row r="16" spans="1:21" x14ac:dyDescent="0.3">
      <c r="A16" s="233">
        <v>11</v>
      </c>
      <c r="B16" s="218">
        <v>2.2000000000000002</v>
      </c>
      <c r="C16" s="213">
        <v>1.87</v>
      </c>
      <c r="D16" s="213">
        <v>2.2999999999999998</v>
      </c>
      <c r="E16" s="213">
        <v>1.9</v>
      </c>
      <c r="F16" s="213"/>
      <c r="G16" s="214">
        <v>2.2999999999999998</v>
      </c>
      <c r="H16" s="201">
        <v>2.21</v>
      </c>
      <c r="I16" s="213"/>
      <c r="J16" s="213">
        <v>2.13</v>
      </c>
      <c r="K16" s="213">
        <v>2.14</v>
      </c>
      <c r="L16" s="213">
        <v>2.16</v>
      </c>
      <c r="M16" s="214">
        <v>2.25</v>
      </c>
      <c r="N16" s="216"/>
      <c r="O16" s="217"/>
      <c r="P16" s="213">
        <v>1.91</v>
      </c>
      <c r="Q16" s="213"/>
      <c r="R16" s="213">
        <v>2.04</v>
      </c>
      <c r="S16" s="215"/>
      <c r="T16" s="256"/>
      <c r="U16" s="4"/>
    </row>
    <row r="17" spans="1:21" x14ac:dyDescent="0.3">
      <c r="A17" s="233">
        <v>12</v>
      </c>
      <c r="B17" s="218"/>
      <c r="C17" s="213">
        <v>1.9</v>
      </c>
      <c r="D17" s="213">
        <v>2.36</v>
      </c>
      <c r="E17" s="213">
        <v>2.02</v>
      </c>
      <c r="F17" s="213"/>
      <c r="G17" s="214">
        <v>2.36</v>
      </c>
      <c r="H17" s="216">
        <v>1.98</v>
      </c>
      <c r="I17" s="213"/>
      <c r="J17" s="213">
        <v>1.9</v>
      </c>
      <c r="K17" s="213">
        <v>2.1</v>
      </c>
      <c r="L17" s="213">
        <v>2.0299999999999998</v>
      </c>
      <c r="M17" s="214">
        <v>2.39</v>
      </c>
      <c r="N17" s="216"/>
      <c r="O17" s="217"/>
      <c r="P17" s="213">
        <v>2.19</v>
      </c>
      <c r="Q17" s="213"/>
      <c r="R17" s="213">
        <v>2.0499999999999998</v>
      </c>
      <c r="S17" s="215"/>
      <c r="T17" s="256"/>
      <c r="U17" s="4"/>
    </row>
    <row r="18" spans="1:21" x14ac:dyDescent="0.3">
      <c r="A18" s="233">
        <v>13</v>
      </c>
      <c r="B18" s="218"/>
      <c r="C18" s="213">
        <v>1.76</v>
      </c>
      <c r="D18" s="213">
        <v>2.13</v>
      </c>
      <c r="E18" s="213">
        <v>1.89</v>
      </c>
      <c r="F18" s="213"/>
      <c r="G18" s="214"/>
      <c r="H18" s="216">
        <v>1.78</v>
      </c>
      <c r="I18" s="213"/>
      <c r="J18" s="213">
        <v>1.76</v>
      </c>
      <c r="K18" s="213">
        <v>1.22</v>
      </c>
      <c r="L18" s="213">
        <v>2.3199999999999998</v>
      </c>
      <c r="M18" s="214">
        <v>2.27</v>
      </c>
      <c r="N18" s="216"/>
      <c r="O18" s="217"/>
      <c r="P18" s="213">
        <v>2.06</v>
      </c>
      <c r="Q18" s="213"/>
      <c r="R18" s="213">
        <v>1.9</v>
      </c>
      <c r="S18" s="215"/>
      <c r="T18" s="256"/>
      <c r="U18" s="4"/>
    </row>
    <row r="19" spans="1:21" x14ac:dyDescent="0.3">
      <c r="A19" s="233">
        <v>14</v>
      </c>
      <c r="B19" s="218"/>
      <c r="D19" s="213">
        <v>2.5099999999999998</v>
      </c>
      <c r="E19" s="213"/>
      <c r="F19" s="213"/>
      <c r="G19" s="214"/>
      <c r="H19" s="216">
        <v>1.9</v>
      </c>
      <c r="I19" s="213"/>
      <c r="J19" s="213">
        <v>2.27</v>
      </c>
      <c r="K19" s="213"/>
      <c r="L19" s="213">
        <v>1.95</v>
      </c>
      <c r="M19" s="214">
        <v>2.0299999999999998</v>
      </c>
      <c r="N19" s="216"/>
      <c r="O19" s="217"/>
      <c r="P19" s="213">
        <v>2.34</v>
      </c>
      <c r="Q19" s="213"/>
      <c r="R19" s="213">
        <v>2.1</v>
      </c>
      <c r="S19" s="215"/>
      <c r="T19" s="256"/>
      <c r="U19" s="4"/>
    </row>
    <row r="20" spans="1:21" x14ac:dyDescent="0.3">
      <c r="A20" s="233">
        <v>15</v>
      </c>
      <c r="B20" s="218"/>
      <c r="D20" s="213">
        <v>2.23</v>
      </c>
      <c r="E20" s="213"/>
      <c r="F20" s="213"/>
      <c r="G20" s="214"/>
      <c r="H20" s="216">
        <v>2.02</v>
      </c>
      <c r="I20" s="213"/>
      <c r="J20" s="213">
        <v>2.23</v>
      </c>
      <c r="K20" s="213"/>
      <c r="L20" s="213">
        <v>2.31</v>
      </c>
      <c r="M20" s="214">
        <v>2.5099999999999998</v>
      </c>
      <c r="N20" s="216"/>
      <c r="O20" s="217"/>
      <c r="P20" s="213">
        <v>2.0299999999999998</v>
      </c>
      <c r="Q20" s="213"/>
      <c r="R20" s="213">
        <v>1.87</v>
      </c>
      <c r="S20" s="215"/>
      <c r="T20" s="256"/>
      <c r="U20" s="4"/>
    </row>
    <row r="21" spans="1:21" x14ac:dyDescent="0.3">
      <c r="A21" s="233">
        <v>16</v>
      </c>
      <c r="B21" s="218"/>
      <c r="D21" s="213"/>
      <c r="E21" s="213"/>
      <c r="F21" s="213"/>
      <c r="G21" s="214"/>
      <c r="H21" s="216">
        <v>1.89</v>
      </c>
      <c r="I21" s="213"/>
      <c r="J21" s="213">
        <v>2.15</v>
      </c>
      <c r="K21" s="213"/>
      <c r="L21" s="213">
        <v>2.2400000000000002</v>
      </c>
      <c r="M21" s="214">
        <v>2.2000000000000002</v>
      </c>
      <c r="N21" s="216"/>
      <c r="O21" s="217"/>
      <c r="P21" s="213">
        <v>2</v>
      </c>
      <c r="Q21" s="213"/>
      <c r="R21" s="213">
        <v>1.93</v>
      </c>
      <c r="S21" s="215"/>
      <c r="T21" s="256"/>
      <c r="U21" s="4"/>
    </row>
    <row r="22" spans="1:21" x14ac:dyDescent="0.3">
      <c r="A22" s="233">
        <v>17</v>
      </c>
      <c r="B22" s="218"/>
      <c r="D22" s="213"/>
      <c r="E22" s="213"/>
      <c r="F22" s="213"/>
      <c r="G22" s="214"/>
      <c r="H22" s="216">
        <v>2</v>
      </c>
      <c r="I22" s="213"/>
      <c r="J22" s="213">
        <v>2</v>
      </c>
      <c r="K22" s="213"/>
      <c r="L22" s="213">
        <v>2.3199999999999998</v>
      </c>
      <c r="M22" s="214">
        <v>2.42</v>
      </c>
      <c r="N22" s="216"/>
      <c r="O22" s="217"/>
      <c r="P22" s="213"/>
      <c r="Q22" s="213"/>
      <c r="R22" s="213">
        <v>1.84</v>
      </c>
      <c r="S22" s="215"/>
      <c r="T22" s="256"/>
      <c r="U22" s="4"/>
    </row>
    <row r="23" spans="1:21" x14ac:dyDescent="0.3">
      <c r="A23" s="233">
        <v>18</v>
      </c>
      <c r="B23" s="218"/>
      <c r="D23" s="213"/>
      <c r="E23" s="213"/>
      <c r="F23" s="213"/>
      <c r="G23" s="214"/>
      <c r="H23" s="216"/>
      <c r="I23" s="213"/>
      <c r="J23" s="213">
        <v>2.12</v>
      </c>
      <c r="K23" s="213"/>
      <c r="L23" s="213">
        <v>2.31</v>
      </c>
      <c r="M23" s="214"/>
      <c r="N23" s="216"/>
      <c r="O23" s="217"/>
      <c r="P23" s="213"/>
      <c r="Q23" s="213"/>
      <c r="R23" s="213">
        <v>1.83</v>
      </c>
      <c r="S23" s="215"/>
      <c r="T23" s="256"/>
      <c r="U23" s="4"/>
    </row>
    <row r="24" spans="1:21" x14ac:dyDescent="0.3">
      <c r="A24" s="233">
        <v>19</v>
      </c>
      <c r="B24" s="218"/>
      <c r="D24" s="213"/>
      <c r="E24" s="213"/>
      <c r="F24" s="213"/>
      <c r="G24" s="214"/>
      <c r="H24" s="216"/>
      <c r="I24" s="213"/>
      <c r="J24" s="213">
        <v>1.74</v>
      </c>
      <c r="K24" s="213"/>
      <c r="L24" s="213"/>
      <c r="M24" s="214"/>
      <c r="N24" s="216"/>
      <c r="O24" s="217"/>
      <c r="P24" s="213"/>
      <c r="Q24" s="213"/>
      <c r="R24" s="213"/>
      <c r="S24" s="215"/>
      <c r="T24" s="256"/>
      <c r="U24" s="4"/>
    </row>
    <row r="25" spans="1:21" x14ac:dyDescent="0.3">
      <c r="A25" s="233">
        <v>20</v>
      </c>
      <c r="B25" s="218"/>
      <c r="D25" s="213"/>
      <c r="E25" s="213"/>
      <c r="F25" s="213"/>
      <c r="G25" s="214"/>
      <c r="H25" s="216"/>
      <c r="I25" s="213"/>
      <c r="J25" s="213">
        <v>1.94</v>
      </c>
      <c r="K25" s="213"/>
      <c r="L25" s="213"/>
      <c r="M25" s="214"/>
      <c r="N25" s="216"/>
      <c r="O25" s="217"/>
      <c r="P25" s="213"/>
      <c r="Q25" s="213"/>
      <c r="R25" s="213"/>
      <c r="S25" s="215"/>
      <c r="T25" s="256"/>
      <c r="U25" s="4"/>
    </row>
    <row r="26" spans="1:21" x14ac:dyDescent="0.3">
      <c r="A26" s="233">
        <v>21</v>
      </c>
      <c r="B26" s="216"/>
      <c r="D26" s="213"/>
      <c r="E26" s="213"/>
      <c r="F26" s="213"/>
      <c r="G26" s="214"/>
      <c r="H26" s="216"/>
      <c r="I26" s="213"/>
      <c r="J26" s="213">
        <v>1.87</v>
      </c>
      <c r="K26" s="213"/>
      <c r="L26" s="213"/>
      <c r="M26" s="214"/>
      <c r="N26" s="216"/>
      <c r="O26" s="217"/>
      <c r="P26" s="213"/>
      <c r="Q26" s="213"/>
      <c r="R26" s="213"/>
      <c r="S26" s="215"/>
      <c r="T26" s="256"/>
      <c r="U26" s="4"/>
    </row>
    <row r="27" spans="1:21" x14ac:dyDescent="0.3">
      <c r="A27" s="233">
        <v>22</v>
      </c>
      <c r="B27" s="216"/>
      <c r="D27" s="213"/>
      <c r="E27" s="213"/>
      <c r="F27" s="213"/>
      <c r="G27" s="214"/>
      <c r="H27" s="216"/>
      <c r="I27" s="213"/>
      <c r="J27" s="213">
        <v>1.9</v>
      </c>
      <c r="K27" s="213"/>
      <c r="L27" s="213"/>
      <c r="M27" s="214"/>
      <c r="N27" s="216"/>
      <c r="O27" s="217"/>
      <c r="P27" s="213"/>
      <c r="Q27" s="213"/>
      <c r="R27" s="213"/>
      <c r="S27" s="215"/>
      <c r="T27" s="256"/>
      <c r="U27" s="4"/>
    </row>
    <row r="28" spans="1:21" x14ac:dyDescent="0.3">
      <c r="A28" s="233">
        <v>23</v>
      </c>
      <c r="B28" s="216"/>
      <c r="C28" s="213"/>
      <c r="D28" s="213"/>
      <c r="E28" s="213"/>
      <c r="F28" s="213"/>
      <c r="G28" s="214"/>
      <c r="H28" s="216"/>
      <c r="I28" s="213"/>
      <c r="J28" s="213">
        <v>1.76</v>
      </c>
      <c r="K28" s="213"/>
      <c r="L28" s="213"/>
      <c r="M28" s="214"/>
      <c r="N28" s="216"/>
      <c r="O28" s="217"/>
      <c r="P28" s="213"/>
      <c r="Q28" s="213"/>
      <c r="R28" s="213"/>
      <c r="S28" s="215"/>
      <c r="T28" s="256"/>
      <c r="U28" s="4"/>
    </row>
    <row r="29" spans="1:21" x14ac:dyDescent="0.3">
      <c r="A29" s="233">
        <v>24</v>
      </c>
      <c r="B29" s="216"/>
      <c r="C29" s="213"/>
      <c r="D29" s="213"/>
      <c r="E29" s="213"/>
      <c r="F29" s="213"/>
      <c r="G29" s="214"/>
      <c r="H29" s="216"/>
      <c r="I29" s="213"/>
      <c r="J29" s="213"/>
      <c r="K29" s="213"/>
      <c r="L29" s="213"/>
      <c r="M29" s="214"/>
      <c r="N29" s="216"/>
      <c r="O29" s="217"/>
      <c r="P29" s="213"/>
      <c r="Q29" s="213"/>
      <c r="R29" s="213"/>
      <c r="S29" s="215"/>
      <c r="T29" s="256"/>
      <c r="U29" s="4"/>
    </row>
    <row r="30" spans="1:21" x14ac:dyDescent="0.3">
      <c r="A30" s="233">
        <v>25</v>
      </c>
      <c r="B30" s="216"/>
      <c r="C30" s="213"/>
      <c r="D30" s="213"/>
      <c r="E30" s="213"/>
      <c r="F30" s="213"/>
      <c r="G30" s="214"/>
      <c r="H30" s="216"/>
      <c r="I30" s="213"/>
      <c r="J30" s="213"/>
      <c r="K30" s="213"/>
      <c r="L30" s="213"/>
      <c r="M30" s="214"/>
      <c r="N30" s="216"/>
      <c r="O30" s="217"/>
      <c r="P30" s="213"/>
      <c r="Q30" s="213"/>
      <c r="R30" s="213"/>
      <c r="S30" s="215"/>
      <c r="T30" s="256"/>
      <c r="U30" s="4"/>
    </row>
    <row r="31" spans="1:21" x14ac:dyDescent="0.3">
      <c r="A31" s="233">
        <v>26</v>
      </c>
      <c r="B31" s="216"/>
      <c r="C31" s="213"/>
      <c r="D31" s="213"/>
      <c r="E31" s="213"/>
      <c r="F31" s="213"/>
      <c r="G31" s="214"/>
      <c r="H31" s="216"/>
      <c r="I31" s="213"/>
      <c r="J31" s="213"/>
      <c r="K31" s="213"/>
      <c r="L31" s="213"/>
      <c r="M31" s="214"/>
      <c r="N31" s="216"/>
      <c r="O31" s="217"/>
      <c r="P31" s="213"/>
      <c r="Q31" s="213"/>
      <c r="R31" s="213"/>
      <c r="S31" s="215"/>
      <c r="T31" s="256"/>
      <c r="U31" s="4"/>
    </row>
    <row r="32" spans="1:21" x14ac:dyDescent="0.3">
      <c r="A32" s="233">
        <v>27</v>
      </c>
      <c r="B32" s="216"/>
      <c r="C32" s="213"/>
      <c r="D32" s="213"/>
      <c r="E32" s="213"/>
      <c r="F32" s="213"/>
      <c r="G32" s="214"/>
      <c r="H32" s="216"/>
      <c r="I32" s="213"/>
      <c r="J32" s="213"/>
      <c r="K32" s="213"/>
      <c r="L32" s="213"/>
      <c r="M32" s="214"/>
      <c r="N32" s="216"/>
      <c r="O32" s="217"/>
      <c r="P32" s="213"/>
      <c r="Q32" s="213"/>
      <c r="R32" s="213"/>
      <c r="S32" s="215"/>
      <c r="T32" s="256"/>
      <c r="U32" s="4"/>
    </row>
    <row r="33" spans="1:21" x14ac:dyDescent="0.3">
      <c r="A33" s="233">
        <v>28</v>
      </c>
      <c r="B33" s="216"/>
      <c r="C33" s="213"/>
      <c r="D33" s="213"/>
      <c r="E33" s="213"/>
      <c r="F33" s="213"/>
      <c r="G33" s="214"/>
      <c r="H33" s="216"/>
      <c r="I33" s="213"/>
      <c r="J33" s="213"/>
      <c r="K33" s="213"/>
      <c r="L33" s="213"/>
      <c r="M33" s="214"/>
      <c r="N33" s="216"/>
      <c r="O33" s="217"/>
      <c r="P33" s="213"/>
      <c r="Q33" s="213"/>
      <c r="R33" s="213"/>
      <c r="S33" s="215"/>
      <c r="T33" s="256"/>
      <c r="U33" s="4"/>
    </row>
    <row r="34" spans="1:21" x14ac:dyDescent="0.3">
      <c r="A34" s="233">
        <v>29</v>
      </c>
      <c r="B34" s="216"/>
      <c r="C34" s="213"/>
      <c r="D34" s="213"/>
      <c r="E34" s="213"/>
      <c r="F34" s="219"/>
      <c r="G34" s="214"/>
      <c r="H34" s="216"/>
      <c r="I34" s="213"/>
      <c r="J34" s="213"/>
      <c r="K34" s="213"/>
      <c r="L34" s="213"/>
      <c r="M34" s="214"/>
      <c r="N34" s="216"/>
      <c r="O34" s="217"/>
      <c r="P34" s="213"/>
      <c r="Q34" s="213"/>
      <c r="R34" s="213"/>
      <c r="S34" s="215"/>
      <c r="T34" s="256"/>
      <c r="U34" s="4"/>
    </row>
    <row r="35" spans="1:21" ht="15" thickBot="1" x14ac:dyDescent="0.35">
      <c r="A35" s="234">
        <v>30</v>
      </c>
      <c r="B35" s="220"/>
      <c r="C35" s="221"/>
      <c r="D35" s="221"/>
      <c r="E35" s="221"/>
      <c r="F35" s="221"/>
      <c r="G35" s="222"/>
      <c r="H35" s="220"/>
      <c r="I35" s="221"/>
      <c r="J35" s="221"/>
      <c r="K35" s="221"/>
      <c r="L35" s="221"/>
      <c r="M35" s="222"/>
      <c r="N35" s="220"/>
      <c r="O35" s="223"/>
      <c r="P35" s="221"/>
      <c r="Q35" s="221"/>
      <c r="R35" s="221"/>
      <c r="S35" s="224"/>
      <c r="T35" s="256"/>
      <c r="U35" s="4"/>
    </row>
    <row r="36" spans="1:21" x14ac:dyDescent="0.3">
      <c r="A36" s="242" t="s">
        <v>0</v>
      </c>
      <c r="B36" s="243">
        <f>SUM(B6:B35)</f>
        <v>22.459999999999997</v>
      </c>
      <c r="C36" s="243">
        <f>SUM(C6:C35)</f>
        <v>25.77</v>
      </c>
      <c r="D36" s="243">
        <f>SUM(D6:D35)</f>
        <v>32.479999999999997</v>
      </c>
      <c r="E36" s="243">
        <f t="shared" ref="E36:N36" si="0">SUM(E6:E35)</f>
        <v>25.94</v>
      </c>
      <c r="F36" s="243">
        <f t="shared" si="0"/>
        <v>20.92</v>
      </c>
      <c r="G36" s="243">
        <f t="shared" si="0"/>
        <v>25.61</v>
      </c>
      <c r="H36" s="243">
        <f>SUM(H6:H35)</f>
        <v>34.81</v>
      </c>
      <c r="I36" s="243">
        <f t="shared" si="0"/>
        <v>16.16</v>
      </c>
      <c r="J36" s="243">
        <f>SUM(J6:J35)</f>
        <v>46.199999999999989</v>
      </c>
      <c r="K36" s="243">
        <f t="shared" si="0"/>
        <v>26.060000000000002</v>
      </c>
      <c r="L36" s="243">
        <f t="shared" si="0"/>
        <v>38</v>
      </c>
      <c r="M36" s="243">
        <f t="shared" si="0"/>
        <v>37.830000000000005</v>
      </c>
      <c r="N36" s="243">
        <f t="shared" si="0"/>
        <v>16.68</v>
      </c>
      <c r="O36" s="243">
        <f t="shared" ref="O36:R36" si="1">SUM(O6:O35)</f>
        <v>19.11</v>
      </c>
      <c r="P36" s="243">
        <f t="shared" si="1"/>
        <v>32.49</v>
      </c>
      <c r="Q36" s="243">
        <f t="shared" si="1"/>
        <v>9.39</v>
      </c>
      <c r="R36" s="243">
        <f t="shared" si="1"/>
        <v>35.5</v>
      </c>
      <c r="S36" s="243">
        <f>SUM(S6:S35)</f>
        <v>9.4499999999999993</v>
      </c>
      <c r="T36" s="257"/>
      <c r="U36" s="4"/>
    </row>
    <row r="37" spans="1:21" x14ac:dyDescent="0.3">
      <c r="A37" s="244" t="s">
        <v>1</v>
      </c>
      <c r="B37" s="61">
        <f>(B36/(B39+10^-9))</f>
        <v>2.0418181816325616</v>
      </c>
      <c r="C37" s="61">
        <f>(C36/(C39+10^-9))</f>
        <v>1.982307692155207</v>
      </c>
      <c r="D37" s="61">
        <f>(D36/(D39+10^-9))</f>
        <v>2.1653333331889777</v>
      </c>
      <c r="E37" s="61">
        <f t="shared" ref="E37:N37" si="2">(E36/(E39+10^-9))</f>
        <v>1.9953846152311243</v>
      </c>
      <c r="F37" s="61">
        <f t="shared" si="2"/>
        <v>2.0919999997908003</v>
      </c>
      <c r="G37" s="61">
        <f t="shared" si="2"/>
        <v>2.1341666664888193</v>
      </c>
      <c r="H37" s="61">
        <f t="shared" si="2"/>
        <v>2.0476470587030797</v>
      </c>
      <c r="I37" s="61">
        <f t="shared" si="2"/>
        <v>2.0199999997475002</v>
      </c>
      <c r="J37" s="61">
        <f t="shared" si="2"/>
        <v>2.008695652086578</v>
      </c>
      <c r="K37" s="61">
        <f t="shared" si="2"/>
        <v>2.0046153844611836</v>
      </c>
      <c r="L37" s="61">
        <f t="shared" si="2"/>
        <v>2.1111111109938272</v>
      </c>
      <c r="M37" s="61">
        <f t="shared" si="2"/>
        <v>2.2252941175161594</v>
      </c>
      <c r="N37" s="61">
        <f t="shared" si="2"/>
        <v>2.0849999997393751</v>
      </c>
      <c r="O37" s="61">
        <f t="shared" ref="O37:S37" si="3">(O36/(O39+10^-9))</f>
        <v>2.1233333330974071</v>
      </c>
      <c r="P37" s="61">
        <f t="shared" si="3"/>
        <v>2.0306249998730861</v>
      </c>
      <c r="Q37" s="61">
        <f t="shared" si="3"/>
        <v>2.3474999994131251</v>
      </c>
      <c r="R37" s="61">
        <f t="shared" si="3"/>
        <v>1.9722222221126544</v>
      </c>
      <c r="S37" s="61">
        <f t="shared" si="3"/>
        <v>1.8899999996219998</v>
      </c>
      <c r="T37" s="257"/>
      <c r="U37" s="4"/>
    </row>
    <row r="38" spans="1:21" x14ac:dyDescent="0.3">
      <c r="A38" s="244" t="s">
        <v>2</v>
      </c>
      <c r="B38" s="61">
        <f t="shared" ref="B38:S38" si="4">(MAX(B6:B35)-MIN(B6:B35))</f>
        <v>0.65999999999999992</v>
      </c>
      <c r="C38" s="61">
        <f t="shared" si="4"/>
        <v>0.53</v>
      </c>
      <c r="D38" s="61">
        <f t="shared" si="4"/>
        <v>0.67999999999999972</v>
      </c>
      <c r="E38" s="61">
        <f t="shared" si="4"/>
        <v>0.53999999999999981</v>
      </c>
      <c r="F38" s="61">
        <f t="shared" si="4"/>
        <v>0.45000000000000018</v>
      </c>
      <c r="G38" s="61">
        <f t="shared" si="4"/>
        <v>0.5299999999999998</v>
      </c>
      <c r="H38" s="61">
        <f t="shared" si="4"/>
        <v>0.72999999999999976</v>
      </c>
      <c r="I38" s="61">
        <f t="shared" si="4"/>
        <v>0.57000000000000006</v>
      </c>
      <c r="J38" s="61">
        <f t="shared" si="4"/>
        <v>0.67999999999999994</v>
      </c>
      <c r="K38" s="61">
        <f t="shared" si="4"/>
        <v>1.1700000000000002</v>
      </c>
      <c r="L38" s="61">
        <f t="shared" si="4"/>
        <v>0.61999999999999988</v>
      </c>
      <c r="M38" s="61">
        <f t="shared" si="4"/>
        <v>0.83000000000000007</v>
      </c>
      <c r="N38" s="61">
        <f t="shared" si="4"/>
        <v>0.5299999999999998</v>
      </c>
      <c r="O38" s="61">
        <f t="shared" si="4"/>
        <v>0.45999999999999996</v>
      </c>
      <c r="P38" s="61">
        <f t="shared" si="4"/>
        <v>0.50999999999999979</v>
      </c>
      <c r="Q38" s="61">
        <f t="shared" si="4"/>
        <v>0.56000000000000005</v>
      </c>
      <c r="R38" s="61">
        <f t="shared" si="4"/>
        <v>0.31999999999999984</v>
      </c>
      <c r="S38" s="61">
        <f t="shared" si="4"/>
        <v>0.21999999999999975</v>
      </c>
      <c r="T38" s="257"/>
      <c r="U38" s="4"/>
    </row>
    <row r="39" spans="1:21" x14ac:dyDescent="0.3">
      <c r="A39" s="244" t="s">
        <v>3</v>
      </c>
      <c r="B39" s="61">
        <f>COUNTIF(B6:B35,"&lt;&gt;")</f>
        <v>11</v>
      </c>
      <c r="C39" s="61">
        <f>COUNTIF(C6:C35,"&lt;&gt;")</f>
        <v>13</v>
      </c>
      <c r="D39" s="61">
        <f>COUNTIF(D6:D35,"&lt;&gt;")</f>
        <v>15</v>
      </c>
      <c r="E39" s="61">
        <f t="shared" ref="E39:S39" si="5">COUNTIF(E6:E35,"&lt;&gt;")</f>
        <v>13</v>
      </c>
      <c r="F39" s="61">
        <f t="shared" si="5"/>
        <v>10</v>
      </c>
      <c r="G39" s="61">
        <f t="shared" si="5"/>
        <v>12</v>
      </c>
      <c r="H39" s="61">
        <f>COUNTIF(H6:H35,"&lt;&gt;")</f>
        <v>17</v>
      </c>
      <c r="I39" s="61">
        <f t="shared" si="5"/>
        <v>8</v>
      </c>
      <c r="J39" s="61">
        <f>COUNTIF(J6:J35,"&lt;&gt;")</f>
        <v>23</v>
      </c>
      <c r="K39" s="61">
        <f t="shared" si="5"/>
        <v>13</v>
      </c>
      <c r="L39" s="245">
        <f>COUNTIF(L6:L35,"&lt;&gt;")</f>
        <v>18</v>
      </c>
      <c r="M39" s="61">
        <f t="shared" si="5"/>
        <v>17</v>
      </c>
      <c r="N39" s="61">
        <f t="shared" si="5"/>
        <v>8</v>
      </c>
      <c r="O39" s="61">
        <f t="shared" si="5"/>
        <v>9</v>
      </c>
      <c r="P39" s="61">
        <f t="shared" si="5"/>
        <v>16</v>
      </c>
      <c r="Q39" s="61">
        <f t="shared" si="5"/>
        <v>4</v>
      </c>
      <c r="R39" s="61">
        <f t="shared" si="5"/>
        <v>18</v>
      </c>
      <c r="S39" s="61">
        <f t="shared" si="5"/>
        <v>5</v>
      </c>
      <c r="T39" s="257"/>
      <c r="U39" s="4"/>
    </row>
    <row r="40" spans="1:21" x14ac:dyDescent="0.3">
      <c r="A40" s="244" t="s">
        <v>10</v>
      </c>
      <c r="B40" s="61">
        <f>IF(B37=0,10^9,B37)</f>
        <v>2.0418181816325616</v>
      </c>
      <c r="C40" s="61">
        <f>IF(C37=0,10^9,C37)</f>
        <v>1.982307692155207</v>
      </c>
      <c r="D40" s="61">
        <f>IF(D37=0,10^9,D37)</f>
        <v>2.1653333331889777</v>
      </c>
      <c r="E40" s="61">
        <f t="shared" ref="E40:N40" si="6">IF(E37=0,10^9,E37)</f>
        <v>1.9953846152311243</v>
      </c>
      <c r="F40" s="61">
        <f t="shared" si="6"/>
        <v>2.0919999997908003</v>
      </c>
      <c r="G40" s="61">
        <f t="shared" si="6"/>
        <v>2.1341666664888193</v>
      </c>
      <c r="H40" s="61">
        <f t="shared" si="6"/>
        <v>2.0476470587030797</v>
      </c>
      <c r="I40" s="61">
        <f t="shared" si="6"/>
        <v>2.0199999997475002</v>
      </c>
      <c r="J40" s="61">
        <f t="shared" si="6"/>
        <v>2.008695652086578</v>
      </c>
      <c r="K40" s="61">
        <f t="shared" si="6"/>
        <v>2.0046153844611836</v>
      </c>
      <c r="L40" s="61">
        <f t="shared" si="6"/>
        <v>2.1111111109938272</v>
      </c>
      <c r="M40" s="61">
        <f t="shared" si="6"/>
        <v>2.2252941175161594</v>
      </c>
      <c r="N40" s="61">
        <f t="shared" si="6"/>
        <v>2.0849999997393751</v>
      </c>
      <c r="O40" s="61">
        <f t="shared" ref="O40:S40" si="7">IF(O37=0,10^9,O37)</f>
        <v>2.1233333330974071</v>
      </c>
      <c r="P40" s="61">
        <f t="shared" si="7"/>
        <v>2.0306249998730861</v>
      </c>
      <c r="Q40" s="61">
        <f t="shared" si="7"/>
        <v>2.3474999994131251</v>
      </c>
      <c r="R40" s="61">
        <f t="shared" si="7"/>
        <v>1.9722222221126544</v>
      </c>
      <c r="S40" s="61">
        <f t="shared" si="7"/>
        <v>1.8899999996219998</v>
      </c>
      <c r="T40" s="257"/>
      <c r="U40" s="4"/>
    </row>
    <row r="41" spans="1:21" x14ac:dyDescent="0.3">
      <c r="A41" s="244" t="s">
        <v>98</v>
      </c>
      <c r="B41" s="61">
        <f>COUNTIF(B6:B35,"&gt;="&amp;B50)</f>
        <v>5</v>
      </c>
      <c r="C41" s="61">
        <f>COUNTIF(B6:C35,"&gt;="&amp;C50)</f>
        <v>10</v>
      </c>
      <c r="D41" s="61">
        <f>COUNTIF(B6:D35,"&gt;="&amp;D50)</f>
        <v>23</v>
      </c>
      <c r="E41" s="61">
        <f>COUNTIF(B6:E35,"&gt;="&amp;E50)</f>
        <v>27</v>
      </c>
      <c r="F41" s="61">
        <f>COUNTIF(B6:F35,"&gt;="&amp;F50)</f>
        <v>32</v>
      </c>
      <c r="G41" s="61">
        <f>COUNTIF(B6:G35,"&gt;="&amp;G50)</f>
        <v>42</v>
      </c>
      <c r="H41" s="61">
        <f>COUNTIF(B6:H35,"&gt;="&amp;H50)</f>
        <v>49</v>
      </c>
      <c r="I41" s="61">
        <f>COUNTIF(B6:I35,"&gt;="&amp;I50)</f>
        <v>52</v>
      </c>
      <c r="J41" s="61">
        <f>COUNTIF(B6:J35,"&gt;="&amp;J50)</f>
        <v>61</v>
      </c>
      <c r="K41" s="61">
        <f>COUNTIF(B6:K35,"&gt;="&amp;K50)</f>
        <v>66</v>
      </c>
      <c r="L41" s="61">
        <f>COUNTIF(B6:L35,"&gt;="&amp;L50)</f>
        <v>79</v>
      </c>
      <c r="M41" s="61">
        <f>COUNTIF(B6:M35,"&gt;="&amp;M50)</f>
        <v>92</v>
      </c>
      <c r="N41" s="61">
        <f>COUNTIF(B6:N35,"&gt;="&amp;N50)</f>
        <v>98</v>
      </c>
      <c r="O41" s="61">
        <f>COUNTIF(B6:O35,"&gt;="&amp;O50)</f>
        <v>104</v>
      </c>
      <c r="P41" s="61">
        <f>COUNTIF(B6:P35,"&gt;="&amp;P50)</f>
        <v>112</v>
      </c>
      <c r="Q41" s="61">
        <f>COUNTIF(B6:Q35,"&gt;="&amp;Q50)</f>
        <v>116</v>
      </c>
      <c r="R41" s="61">
        <f>COUNTIF(B6:R35,"&gt;="&amp;R50)</f>
        <v>122</v>
      </c>
      <c r="S41" s="61">
        <f>COUNTIF(B6:S35,"&gt;="&amp;S50)</f>
        <v>122</v>
      </c>
      <c r="T41" s="257"/>
      <c r="U41" s="258"/>
    </row>
    <row r="42" spans="1:21" x14ac:dyDescent="0.3">
      <c r="A42" s="244" t="s">
        <v>99</v>
      </c>
      <c r="B42" s="61">
        <f>COUNTIF(B6:B35,"&lt;"&amp;B50)</f>
        <v>6</v>
      </c>
      <c r="C42" s="61">
        <f>COUNTIF(B6:C35,"&lt;"&amp;C50)</f>
        <v>14</v>
      </c>
      <c r="D42" s="61">
        <f>COUNTIF(B6:D35,"&lt;"&amp;D50)</f>
        <v>16</v>
      </c>
      <c r="E42" s="61">
        <f>COUNTIF(B6:E35,"&lt;"&amp;E50)</f>
        <v>25</v>
      </c>
      <c r="F42" s="61">
        <f>COUNTIF(B6:F35,"&lt;"&amp;F50)</f>
        <v>30</v>
      </c>
      <c r="G42" s="61">
        <f>COUNTIF(B6:G35,"&lt;"&amp;G50)</f>
        <v>32</v>
      </c>
      <c r="H42" s="61">
        <f>COUNTIF(B6:H35,"&lt;"&amp;H50)</f>
        <v>42</v>
      </c>
      <c r="I42" s="61">
        <f>COUNTIF(B6:I35,"&lt;"&amp;I50)</f>
        <v>47</v>
      </c>
      <c r="J42" s="61">
        <f>COUNTIF(B6:J35,"&lt;"&amp;J50)</f>
        <v>61</v>
      </c>
      <c r="K42" s="61">
        <f>COUNTIF(B6:K35,"&lt;"&amp;K50)</f>
        <v>69</v>
      </c>
      <c r="L42" s="61">
        <f>COUNTIF(B6:L35,"&lt;"&amp;L50)</f>
        <v>74</v>
      </c>
      <c r="M42" s="61">
        <f>COUNTIF(B6:M35,"&lt;"&amp;M50)</f>
        <v>78</v>
      </c>
      <c r="N42" s="61">
        <f>COUNTIF(B6:N35,"&lt;"&amp;N50)</f>
        <v>80</v>
      </c>
      <c r="O42" s="61">
        <f>COUNTIF(B6:O35,"&lt;"&amp;O50)</f>
        <v>83</v>
      </c>
      <c r="P42" s="61">
        <f>COUNTIF(B6:P35,"&lt;"&amp;P50)</f>
        <v>91</v>
      </c>
      <c r="Q42" s="61">
        <f>COUNTIF(B6:Q35,"&lt;"&amp;Q50)</f>
        <v>91</v>
      </c>
      <c r="R42" s="61">
        <f>COUNTIF(B6:R35,"&lt;"&amp;R50)</f>
        <v>103</v>
      </c>
      <c r="S42" s="61">
        <f>COUNTIF(B6:S35,"&lt;"&amp;S44)</f>
        <v>119</v>
      </c>
      <c r="T42" s="257"/>
      <c r="U42" s="258"/>
    </row>
    <row r="43" spans="1:21" x14ac:dyDescent="0.3">
      <c r="A43" s="244" t="s">
        <v>4</v>
      </c>
      <c r="B43" s="61">
        <f>SUM(B6:B35)</f>
        <v>22.459999999999997</v>
      </c>
      <c r="C43" s="61">
        <f>SUM(B6:C35)</f>
        <v>48.23</v>
      </c>
      <c r="D43" s="61">
        <f>SUM(B6:D35)</f>
        <v>80.710000000000022</v>
      </c>
      <c r="E43" s="61">
        <f>SUM(B6:E35)</f>
        <v>106.65000000000002</v>
      </c>
      <c r="F43" s="61">
        <f>SUM(B6:F35)</f>
        <v>127.57000000000001</v>
      </c>
      <c r="G43" s="61">
        <f>SUM(B6:G35)</f>
        <v>153.18</v>
      </c>
      <c r="H43" s="61">
        <f>SUM(B6:H35)</f>
        <v>187.99000000000004</v>
      </c>
      <c r="I43" s="61">
        <f>SUM(B6:I35)</f>
        <v>204.15</v>
      </c>
      <c r="J43" s="61">
        <f>SUM(B6:J35)</f>
        <v>250.35000000000005</v>
      </c>
      <c r="K43" s="61">
        <f>SUM(B6:K35)</f>
        <v>276.40999999999997</v>
      </c>
      <c r="L43" s="61">
        <f>SUM(B6:L35)</f>
        <v>314.4099999999998</v>
      </c>
      <c r="M43" s="61">
        <f>SUM(B6:M35)</f>
        <v>352.23999999999978</v>
      </c>
      <c r="N43" s="61">
        <f>SUM(B6:N35)</f>
        <v>368.91999999999973</v>
      </c>
      <c r="O43" s="61">
        <f>SUM(B6:O35)</f>
        <v>388.02999999999969</v>
      </c>
      <c r="P43" s="61">
        <f>SUM(B6:P35)</f>
        <v>420.51999999999981</v>
      </c>
      <c r="Q43" s="61">
        <f>SUM(B6:Q35)</f>
        <v>429.90999999999974</v>
      </c>
      <c r="R43" s="61">
        <f>SUM(B6:R35)</f>
        <v>465.40999999999974</v>
      </c>
      <c r="S43" s="61">
        <f>SUM(B6:S35)</f>
        <v>474.85999999999979</v>
      </c>
      <c r="T43" s="257"/>
      <c r="U43" s="4"/>
    </row>
    <row r="44" spans="1:21" x14ac:dyDescent="0.3">
      <c r="A44" s="244" t="s">
        <v>5</v>
      </c>
      <c r="B44" s="61">
        <f>(B43/(B46+10^-9))</f>
        <v>2.0418181816325616</v>
      </c>
      <c r="C44" s="61">
        <f>(C43/(C46+10^-9))</f>
        <v>2.0095833332496005</v>
      </c>
      <c r="D44" s="61">
        <f>(D43/(D46+10^-9))</f>
        <v>2.0694871794341165</v>
      </c>
      <c r="E44" s="61">
        <f t="shared" ref="E44:S44" si="8">(E43/(E46+10^-9))</f>
        <v>2.0509615384220976</v>
      </c>
      <c r="F44" s="61">
        <f t="shared" si="8"/>
        <v>2.0575806451281036</v>
      </c>
      <c r="G44" s="61">
        <f t="shared" si="8"/>
        <v>2.0699999999720271</v>
      </c>
      <c r="H44" s="61">
        <f t="shared" si="8"/>
        <v>2.0658241758014748</v>
      </c>
      <c r="I44" s="61">
        <f t="shared" si="8"/>
        <v>2.0621212121003825</v>
      </c>
      <c r="J44" s="61">
        <f t="shared" si="8"/>
        <v>2.052049180311049</v>
      </c>
      <c r="K44" s="61">
        <f t="shared" si="8"/>
        <v>2.0474814814663147</v>
      </c>
      <c r="L44" s="61">
        <f t="shared" si="8"/>
        <v>2.0549673202480054</v>
      </c>
      <c r="M44" s="61">
        <f t="shared" si="8"/>
        <v>2.0719999999878107</v>
      </c>
      <c r="N44" s="61">
        <f t="shared" si="8"/>
        <v>2.0725842696512764</v>
      </c>
      <c r="O44" s="61">
        <f t="shared" si="8"/>
        <v>2.0750267379568164</v>
      </c>
      <c r="P44" s="61">
        <f t="shared" si="8"/>
        <v>2.0715270935858539</v>
      </c>
      <c r="Q44" s="61">
        <f t="shared" si="8"/>
        <v>2.0768599033716084</v>
      </c>
      <c r="R44" s="61">
        <f t="shared" si="8"/>
        <v>2.0684888888796946</v>
      </c>
      <c r="S44" s="61">
        <f t="shared" si="8"/>
        <v>2.0646086956431966</v>
      </c>
      <c r="T44" s="257"/>
      <c r="U44" s="4"/>
    </row>
    <row r="45" spans="1:21" x14ac:dyDescent="0.3">
      <c r="A45" s="244" t="s">
        <v>6</v>
      </c>
      <c r="B45" s="61">
        <f>(MAX(B6:B35)-MIN(B6:B35))</f>
        <v>0.65999999999999992</v>
      </c>
      <c r="C45" s="61">
        <f>(MAX(B6:C35)-MIN(B6:C35))</f>
        <v>0.65999999999999992</v>
      </c>
      <c r="D45" s="61">
        <f>(MAX(B6:D35)-MIN(B6:D35))</f>
        <v>0.82999999999999985</v>
      </c>
      <c r="E45" s="61">
        <f>(MAX(B6:E35)-MIN(B6:E35))</f>
        <v>0.82999999999999985</v>
      </c>
      <c r="F45" s="61">
        <f>(MAX(B6:F35)-MIN(B6:F35))</f>
        <v>0.82999999999999985</v>
      </c>
      <c r="G45" s="61">
        <f>(MAX(B6:G35)-MIN(B6:G35))</f>
        <v>0.82999999999999985</v>
      </c>
      <c r="H45" s="61">
        <f>(MAX(B6:H35)-MIN(B6:H35))</f>
        <v>0.82999999999999985</v>
      </c>
      <c r="I45" s="61">
        <f>(MAX(B6:I35)-MIN(B6:I35))</f>
        <v>0.82999999999999985</v>
      </c>
      <c r="J45" s="61">
        <f>(MAX(B6:J35)-MIN(B6:J35))</f>
        <v>0.82999999999999985</v>
      </c>
      <c r="K45" s="61">
        <f>(MAX(B6:K35)-MIN(B6:K35))</f>
        <v>1.2899999999999998</v>
      </c>
      <c r="L45" s="61">
        <f>(MAX(B6:L35)-MIN(B6:L35))</f>
        <v>1.2899999999999998</v>
      </c>
      <c r="M45" s="61">
        <f>(MAX(B6:M35)-MIN(B6:M35))</f>
        <v>1.36</v>
      </c>
      <c r="N45" s="61">
        <f>(MAX(B6:N35)-MIN(B6:N35))</f>
        <v>1.36</v>
      </c>
      <c r="O45" s="61">
        <f>(MAX(B6:O35)-MIN(B6:O35))</f>
        <v>1.36</v>
      </c>
      <c r="P45" s="61">
        <f>(MAX(B6:P35)-MIN(B6:P35))</f>
        <v>1.36</v>
      </c>
      <c r="Q45" s="61">
        <f>(MAX(B6:Q35)-MIN(B6:Q35))</f>
        <v>1.4400000000000002</v>
      </c>
      <c r="R45" s="61">
        <f>(MAX(B6:R35)-MIN(B6:R35))</f>
        <v>1.4400000000000002</v>
      </c>
      <c r="S45" s="61">
        <f>(MAX(B6:S35)-MIN(B6:S35))</f>
        <v>1.4400000000000002</v>
      </c>
      <c r="T45" s="257"/>
      <c r="U45" s="4"/>
    </row>
    <row r="46" spans="1:21" x14ac:dyDescent="0.3">
      <c r="A46" s="244" t="s">
        <v>7</v>
      </c>
      <c r="B46" s="61">
        <f>COUNTIF(B6:B35,"&lt;&gt;")</f>
        <v>11</v>
      </c>
      <c r="C46" s="61">
        <f>COUNTIF(B6:C35,"&lt;&gt;")</f>
        <v>24</v>
      </c>
      <c r="D46" s="61">
        <f>COUNTIF(B6:D35,"&lt;&gt;")</f>
        <v>39</v>
      </c>
      <c r="E46" s="61">
        <f>COUNTIF(B6:E35,"&lt;&gt;")</f>
        <v>52</v>
      </c>
      <c r="F46" s="61">
        <f>COUNTIF(B6:F35,"&lt;&gt;")</f>
        <v>62</v>
      </c>
      <c r="G46" s="61">
        <f>COUNTIF(B6:G35,"&lt;&gt;")</f>
        <v>74</v>
      </c>
      <c r="H46" s="61">
        <f>COUNTIF(B6:H35,"&lt;&gt;")</f>
        <v>91</v>
      </c>
      <c r="I46" s="61">
        <f>COUNTIF(B6:I35,"&lt;&gt;")</f>
        <v>99</v>
      </c>
      <c r="J46" s="61">
        <f>COUNTIF(B6:J35,"&lt;&gt;")</f>
        <v>122</v>
      </c>
      <c r="K46" s="61">
        <f>COUNTIF(B6:K35,"&lt;&gt;")</f>
        <v>135</v>
      </c>
      <c r="L46" s="61">
        <f>COUNTIF(B6:L35,"&lt;&gt;")</f>
        <v>153</v>
      </c>
      <c r="M46" s="61">
        <f>COUNTIF(B6:M35,"&lt;&gt;")</f>
        <v>170</v>
      </c>
      <c r="N46" s="61">
        <f>COUNTIF(B6:N35,"&lt;&gt;")</f>
        <v>178</v>
      </c>
      <c r="O46" s="61">
        <f>COUNTIF(B6:O35,"&lt;&gt;")</f>
        <v>187</v>
      </c>
      <c r="P46" s="61">
        <f>COUNTIF(B6:P35,"&lt;&gt;")</f>
        <v>203</v>
      </c>
      <c r="Q46" s="61">
        <f>COUNTIF(B6:Q35,"&lt;&gt;")</f>
        <v>207</v>
      </c>
      <c r="R46" s="61">
        <f>COUNTIF(B6:R35,"&lt;&gt;")</f>
        <v>225</v>
      </c>
      <c r="S46" s="61">
        <f>COUNTIF(B6:S35,"&lt;&gt;")</f>
        <v>230</v>
      </c>
      <c r="T46" s="257"/>
      <c r="U46" s="4"/>
    </row>
    <row r="47" spans="1:21" x14ac:dyDescent="0.3">
      <c r="A47" s="244" t="s">
        <v>10</v>
      </c>
      <c r="B47" s="61">
        <f>(B44)</f>
        <v>2.0418181816325616</v>
      </c>
      <c r="C47" s="61">
        <f>IF(C44=B44,10^9,C44)</f>
        <v>2.0095833332496005</v>
      </c>
      <c r="D47" s="61">
        <f t="shared" ref="D47:S47" si="9">IF(D44=C44,10^9,D44)</f>
        <v>2.0694871794341165</v>
      </c>
      <c r="E47" s="61">
        <f t="shared" si="9"/>
        <v>2.0509615384220976</v>
      </c>
      <c r="F47" s="61">
        <f t="shared" si="9"/>
        <v>2.0575806451281036</v>
      </c>
      <c r="G47" s="61">
        <f t="shared" si="9"/>
        <v>2.0699999999720271</v>
      </c>
      <c r="H47" s="61">
        <f t="shared" si="9"/>
        <v>2.0658241758014748</v>
      </c>
      <c r="I47" s="61">
        <f t="shared" si="9"/>
        <v>2.0621212121003825</v>
      </c>
      <c r="J47" s="61">
        <f t="shared" si="9"/>
        <v>2.052049180311049</v>
      </c>
      <c r="K47" s="61">
        <f t="shared" si="9"/>
        <v>2.0474814814663147</v>
      </c>
      <c r="L47" s="61">
        <f t="shared" si="9"/>
        <v>2.0549673202480054</v>
      </c>
      <c r="M47" s="61">
        <f t="shared" si="9"/>
        <v>2.0719999999878107</v>
      </c>
      <c r="N47" s="61">
        <f t="shared" si="9"/>
        <v>2.0725842696512764</v>
      </c>
      <c r="O47" s="61">
        <f t="shared" si="9"/>
        <v>2.0750267379568164</v>
      </c>
      <c r="P47" s="61">
        <f t="shared" si="9"/>
        <v>2.0715270935858539</v>
      </c>
      <c r="Q47" s="61">
        <f t="shared" si="9"/>
        <v>2.0768599033716084</v>
      </c>
      <c r="R47" s="61">
        <f t="shared" si="9"/>
        <v>2.0684888888796946</v>
      </c>
      <c r="S47" s="61">
        <f t="shared" si="9"/>
        <v>2.0646086956431966</v>
      </c>
      <c r="T47" s="257"/>
      <c r="U47" s="4"/>
    </row>
    <row r="48" spans="1:21" x14ac:dyDescent="0.3">
      <c r="A48" s="246">
        <f>'AUSSCHUSS - GANGLINIE'!$H$85</f>
        <v>2.4716541745547054</v>
      </c>
      <c r="B48" s="247">
        <f>COUNTIF(B6:B35,"&gt;"&amp;A48)</f>
        <v>0</v>
      </c>
      <c r="C48" s="247">
        <f>COUNTIF(B6:C35,"&gt;"&amp;A48)</f>
        <v>0</v>
      </c>
      <c r="D48" s="247">
        <f>COUNTIF(B6:D35,"&gt;"&amp;A48)</f>
        <v>1</v>
      </c>
      <c r="E48" s="247">
        <f>COUNTIF(B6:E35,"&gt;"&amp;A48)</f>
        <v>1</v>
      </c>
      <c r="F48" s="247">
        <f>COUNTIF(B6:F35,"&gt;"&amp;A48)</f>
        <v>1</v>
      </c>
      <c r="G48" s="247">
        <f>COUNTIF(B6:G35,"&gt;"&amp;A48)</f>
        <v>1</v>
      </c>
      <c r="H48" s="247">
        <f>COUNTIF(B6:H35,"&gt;"&amp;A48)</f>
        <v>2</v>
      </c>
      <c r="I48" s="247">
        <f>COUNTIF(B6:I35,"&gt;"&amp;A48)</f>
        <v>2</v>
      </c>
      <c r="J48" s="247">
        <f>COUNTIF(B6:J35,"&gt;"&amp;A48)</f>
        <v>2</v>
      </c>
      <c r="K48" s="247">
        <f>COUNTIF(B6:K35,"&gt;"&amp;A48)</f>
        <v>2</v>
      </c>
      <c r="L48" s="247">
        <f>COUNTIF(B6:L35,"&gt;"&amp;A48)</f>
        <v>2</v>
      </c>
      <c r="M48" s="247">
        <f>COUNTIF(B6:M35,"&gt;"&amp;A48)</f>
        <v>4</v>
      </c>
      <c r="N48" s="247">
        <f>COUNTIF(B6:N35,"&gt;"&amp;A48)</f>
        <v>4</v>
      </c>
      <c r="O48" s="247">
        <f>COUNTIF(B6:O35,"&gt;"&amp;A48)</f>
        <v>4</v>
      </c>
      <c r="P48" s="247">
        <f>COUNTIF(B6:P35,"&gt;"&amp;A48)</f>
        <v>4</v>
      </c>
      <c r="Q48" s="247">
        <f>COUNTIF(B6:Q35,"&gt;"&amp;A48)</f>
        <v>5</v>
      </c>
      <c r="R48" s="247">
        <f>COUNTIF(B6:R35,"&gt;"&amp;A48)</f>
        <v>5</v>
      </c>
      <c r="S48" s="247">
        <f>COUNTIF(B6:S35,"&gt;"&amp;A48)</f>
        <v>5</v>
      </c>
      <c r="T48" s="259"/>
      <c r="U48" s="107"/>
    </row>
    <row r="49" spans="1:21" x14ac:dyDescent="0.3">
      <c r="A49" s="138">
        <f>'AUSSCHUSS - GANGLINIE'!$H$83</f>
        <v>1.6063458254452947</v>
      </c>
      <c r="B49" s="247">
        <f>COUNTIF(B6:B35,"&lt;"&amp;A49)</f>
        <v>0</v>
      </c>
      <c r="C49" s="247">
        <f>COUNTIF(B6:C35,"&lt;"&amp;A49)</f>
        <v>0</v>
      </c>
      <c r="D49" s="247">
        <f>COUNTIF(B6:D35,"&lt;"&amp;A49)</f>
        <v>0</v>
      </c>
      <c r="E49" s="247">
        <f>COUNTIF(B6:E35,"&lt;"&amp;A49)</f>
        <v>0</v>
      </c>
      <c r="F49" s="247">
        <f>COUNTIF(B6:F35,"&lt;"&amp;A49)</f>
        <v>0</v>
      </c>
      <c r="G49" s="247">
        <f>COUNTIF(B6:G35,"&lt;"&amp;A49)</f>
        <v>0</v>
      </c>
      <c r="H49" s="247">
        <f>COUNTIF(B6:H35,"&lt;"&amp;A49)</f>
        <v>0</v>
      </c>
      <c r="I49" s="247">
        <f>COUNTIF(B6:I35,"&lt;"&amp;A49)</f>
        <v>0</v>
      </c>
      <c r="J49" s="247">
        <f>COUNTIF(B6:J35,"&lt;"&amp;A49)</f>
        <v>0</v>
      </c>
      <c r="K49" s="247">
        <f>COUNTIF(B6:K35,"&lt;"&amp;A49)</f>
        <v>1</v>
      </c>
      <c r="L49" s="247">
        <f>COUNTIF(B6:L35,"&lt;"&amp;A49)</f>
        <v>1</v>
      </c>
      <c r="M49" s="247">
        <f>COUNTIF(B6:M35,"&lt;"&amp;A49)</f>
        <v>1</v>
      </c>
      <c r="N49" s="247">
        <f>COUNTIF(B6:N35,"&lt;"&amp;A49)</f>
        <v>1</v>
      </c>
      <c r="O49" s="247">
        <f>COUNTIF(B6:O35,"&lt;"&amp;A49)</f>
        <v>1</v>
      </c>
      <c r="P49" s="247">
        <f>COUNTIF(B6:P35,"&lt;"&amp;A49)</f>
        <v>1</v>
      </c>
      <c r="Q49" s="247">
        <f>COUNTIF(B6:Q35,"&lt;"&amp;A49)</f>
        <v>1</v>
      </c>
      <c r="R49" s="247">
        <f>COUNTIF(B6:R35,"&lt;"&amp;A49)</f>
        <v>1</v>
      </c>
      <c r="S49" s="247">
        <f>COUNTIF(B6:S35,"&lt;"&amp;A49)</f>
        <v>1</v>
      </c>
      <c r="T49" s="257"/>
      <c r="U49" s="4"/>
    </row>
    <row r="50" spans="1:21" x14ac:dyDescent="0.3">
      <c r="A50" s="61" t="s">
        <v>165</v>
      </c>
      <c r="B50" s="61">
        <f>'&lt;BESCHREIBUNG&gt;EINZELSERIEN'!$L$23</f>
        <v>2.0390000000000001</v>
      </c>
      <c r="C50" s="61">
        <f>'&lt;BESCHREIBUNG&gt;EINZELSERIEN'!$L$23</f>
        <v>2.0390000000000001</v>
      </c>
      <c r="D50" s="61">
        <f>'&lt;BESCHREIBUNG&gt;EINZELSERIEN'!$L$23</f>
        <v>2.0390000000000001</v>
      </c>
      <c r="E50" s="61">
        <f>'&lt;BESCHREIBUNG&gt;EINZELSERIEN'!$L$23</f>
        <v>2.0390000000000001</v>
      </c>
      <c r="F50" s="61">
        <f>'&lt;BESCHREIBUNG&gt;EINZELSERIEN'!$L$23</f>
        <v>2.0390000000000001</v>
      </c>
      <c r="G50" s="61">
        <f>'&lt;BESCHREIBUNG&gt;EINZELSERIEN'!$L$23</f>
        <v>2.0390000000000001</v>
      </c>
      <c r="H50" s="61">
        <f>'&lt;BESCHREIBUNG&gt;EINZELSERIEN'!$L$23</f>
        <v>2.0390000000000001</v>
      </c>
      <c r="I50" s="61">
        <f>'&lt;BESCHREIBUNG&gt;EINZELSERIEN'!$L$23</f>
        <v>2.0390000000000001</v>
      </c>
      <c r="J50" s="61">
        <f>'&lt;BESCHREIBUNG&gt;EINZELSERIEN'!$L$23</f>
        <v>2.0390000000000001</v>
      </c>
      <c r="K50" s="61">
        <f>'&lt;BESCHREIBUNG&gt;EINZELSERIEN'!$L$23</f>
        <v>2.0390000000000001</v>
      </c>
      <c r="L50" s="61">
        <f>'&lt;BESCHREIBUNG&gt;EINZELSERIEN'!$L$23</f>
        <v>2.0390000000000001</v>
      </c>
      <c r="M50" s="61">
        <f>'&lt;BESCHREIBUNG&gt;EINZELSERIEN'!$L$23</f>
        <v>2.0390000000000001</v>
      </c>
      <c r="N50" s="61">
        <f>'&lt;BESCHREIBUNG&gt;EINZELSERIEN'!$L$23</f>
        <v>2.0390000000000001</v>
      </c>
      <c r="O50" s="61">
        <f>'&lt;BESCHREIBUNG&gt;EINZELSERIEN'!$L$23</f>
        <v>2.0390000000000001</v>
      </c>
      <c r="P50" s="61">
        <f>'&lt;BESCHREIBUNG&gt;EINZELSERIEN'!$L$23</f>
        <v>2.0390000000000001</v>
      </c>
      <c r="Q50" s="61">
        <f>'&lt;BESCHREIBUNG&gt;EINZELSERIEN'!$L$23</f>
        <v>2.0390000000000001</v>
      </c>
      <c r="R50" s="61">
        <f>'&lt;BESCHREIBUNG&gt;EINZELSERIEN'!$L$23</f>
        <v>2.0390000000000001</v>
      </c>
      <c r="S50" s="61">
        <f>'&lt;BESCHREIBUNG&gt;EINZELSERIEN'!$L$23</f>
        <v>2.0390000000000001</v>
      </c>
      <c r="T50" s="257"/>
      <c r="U50" s="260"/>
    </row>
    <row r="51" spans="1:21" x14ac:dyDescent="0.3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257"/>
      <c r="U51" s="260"/>
    </row>
    <row r="52" spans="1:21" x14ac:dyDescent="0.3">
      <c r="A52" s="261"/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2"/>
      <c r="U52" s="260"/>
    </row>
    <row r="53" spans="1:21" x14ac:dyDescent="0.3">
      <c r="A53" s="261"/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2"/>
      <c r="U53" s="260"/>
    </row>
    <row r="54" spans="1:21" x14ac:dyDescent="0.3">
      <c r="A54" s="262"/>
      <c r="B54" s="262"/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0"/>
    </row>
    <row r="55" spans="1:21" x14ac:dyDescent="0.3">
      <c r="A55" s="262"/>
      <c r="B55" s="262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0"/>
    </row>
    <row r="56" spans="1:21" x14ac:dyDescent="0.3">
      <c r="A56" s="262"/>
      <c r="B56" s="262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0"/>
    </row>
    <row r="57" spans="1:21" x14ac:dyDescent="0.3">
      <c r="A57" s="262"/>
      <c r="B57" s="262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0"/>
    </row>
    <row r="58" spans="1:21" x14ac:dyDescent="0.3">
      <c r="A58" s="262"/>
      <c r="B58" s="262"/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0"/>
    </row>
    <row r="59" spans="1:21" x14ac:dyDescent="0.3">
      <c r="A59" s="262"/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0"/>
    </row>
    <row r="60" spans="1:21" x14ac:dyDescent="0.3">
      <c r="A60" s="262"/>
      <c r="B60" s="262"/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0"/>
    </row>
    <row r="61" spans="1:21" x14ac:dyDescent="0.3">
      <c r="A61" s="262"/>
      <c r="B61" s="262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0"/>
    </row>
    <row r="62" spans="1:21" x14ac:dyDescent="0.3">
      <c r="A62" s="262"/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0"/>
    </row>
    <row r="63" spans="1:21" x14ac:dyDescent="0.3">
      <c r="A63" s="262"/>
      <c r="B63" s="262"/>
      <c r="C63" s="262"/>
      <c r="D63" s="262"/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0"/>
    </row>
    <row r="64" spans="1:21" x14ac:dyDescent="0.3">
      <c r="A64" s="262"/>
      <c r="B64" s="262"/>
      <c r="C64" s="262"/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0"/>
    </row>
    <row r="65" spans="1:21" x14ac:dyDescent="0.3">
      <c r="A65" s="262"/>
      <c r="B65" s="262"/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0"/>
    </row>
    <row r="66" spans="1:21" x14ac:dyDescent="0.3">
      <c r="A66" s="262"/>
      <c r="B66" s="262"/>
      <c r="C66" s="262"/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0"/>
    </row>
    <row r="67" spans="1:21" x14ac:dyDescent="0.3">
      <c r="A67" s="260"/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</row>
  </sheetData>
  <sheetProtection algorithmName="SHA-512" hashValue="DUePHfxnZrNpgQQsu5vKKWHE8gBHSn3wUWPmW5Y1KnTrFeAmluvkuuFNWYHw9nFNsmfDAL8AzMz2zrkluyFFfA==" saltValue="J2H83u266g6SX55pep3T8Q==" spinCount="100000" sheet="1" objects="1" scenarios="1" selectLockedCells="1"/>
  <mergeCells count="7">
    <mergeCell ref="B1:S1"/>
    <mergeCell ref="B2:G2"/>
    <mergeCell ref="H2:M2"/>
    <mergeCell ref="N2:S2"/>
    <mergeCell ref="D3:G3"/>
    <mergeCell ref="J3:M3"/>
    <mergeCell ref="P3:S3"/>
  </mergeCells>
  <dataValidations count="1">
    <dataValidation type="decimal" operator="notEqual" allowBlank="1" showInputMessage="1" showErrorMessage="1" sqref="B6 B7:S8 C6:S6" xr:uid="{00000000-0002-0000-0000-000000000000}">
      <formula1>0</formula1>
    </dataValidation>
  </dataValidations>
  <hyperlinks>
    <hyperlink ref="K4" r:id="rId1" xr:uid="{00000000-0004-0000-0000-000000000000}"/>
    <hyperlink ref="P4" r:id="rId2" xr:uid="{00000000-0004-0000-0000-000001000000}"/>
    <hyperlink ref="D4" r:id="rId3" display="http://www.graphpad.com/quickcalcs/grubbs1/" xr:uid="{00000000-0004-0000-0000-000002000000}"/>
  </hyperlinks>
  <pageMargins left="0.7" right="0.7" top="0.78740157499999996" bottom="0.78740157499999996" header="0.3" footer="0.3"/>
  <pageSetup paperSize="9" orientation="portrait" horizontalDpi="4294967293" verticalDpi="4294967293" r:id="rId4"/>
  <ignoredErrors>
    <ignoredError sqref="B36:S36 M39:S39 B39:L39 B42:B43 B45:B46 B48:B49 B41 B38" formulaRange="1"/>
    <ignoredError sqref="L37 L4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AI523"/>
  <sheetViews>
    <sheetView workbookViewId="0">
      <selection activeCell="L27" sqref="L27"/>
    </sheetView>
  </sheetViews>
  <sheetFormatPr baseColWidth="10" defaultRowHeight="14.4" x14ac:dyDescent="0.3"/>
  <cols>
    <col min="1" max="1" width="3" style="1" customWidth="1"/>
    <col min="2" max="2" width="7.77734375" style="1" customWidth="1"/>
    <col min="3" max="3" width="9" style="1" customWidth="1"/>
    <col min="4" max="4" width="9.109375" style="1" customWidth="1"/>
    <col min="5" max="5" width="8.33203125" style="1" customWidth="1"/>
    <col min="6" max="6" width="11.44140625" style="1" customWidth="1"/>
    <col min="7" max="7" width="11.33203125" style="1" customWidth="1"/>
    <col min="8" max="8" width="14.5546875" style="1" customWidth="1"/>
    <col min="9" max="9" width="9.88671875" style="1" customWidth="1"/>
    <col min="10" max="10" width="8" style="1" customWidth="1"/>
    <col min="11" max="11" width="25.44140625" style="1" customWidth="1"/>
    <col min="12" max="12" width="11.5546875" style="1" customWidth="1"/>
    <col min="13" max="14" width="11.5546875" style="1"/>
    <col min="15" max="15" width="11.5546875" style="1" customWidth="1"/>
    <col min="16" max="16384" width="11.5546875" style="1"/>
  </cols>
  <sheetData>
    <row r="1" spans="1:28" ht="18" x14ac:dyDescent="0.35">
      <c r="A1" s="10"/>
      <c r="B1" s="11" t="s">
        <v>49</v>
      </c>
      <c r="C1" s="11"/>
      <c r="D1" s="11"/>
      <c r="E1" s="12"/>
      <c r="F1" s="13"/>
      <c r="G1" s="277" t="s">
        <v>83</v>
      </c>
      <c r="H1" s="278"/>
      <c r="I1" s="278"/>
      <c r="J1" s="278"/>
      <c r="K1" s="278"/>
      <c r="L1" s="279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8" x14ac:dyDescent="0.3">
      <c r="A2" s="14"/>
      <c r="B2" s="15" t="s">
        <v>50</v>
      </c>
      <c r="C2" s="15"/>
      <c r="D2" s="282">
        <v>125487</v>
      </c>
      <c r="E2" s="282"/>
      <c r="F2" s="283"/>
      <c r="G2" s="88"/>
      <c r="H2" s="89"/>
      <c r="I2" s="89"/>
      <c r="J2" s="90"/>
      <c r="K2" s="90"/>
      <c r="L2" s="91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</row>
    <row r="3" spans="1:28" x14ac:dyDescent="0.3">
      <c r="A3" s="16" t="s">
        <v>110</v>
      </c>
      <c r="B3" s="17" t="s">
        <v>13</v>
      </c>
      <c r="C3" s="18" t="s">
        <v>53</v>
      </c>
      <c r="D3" s="42" t="s">
        <v>54</v>
      </c>
      <c r="E3" s="43" t="s">
        <v>55</v>
      </c>
      <c r="F3" s="44" t="s">
        <v>56</v>
      </c>
      <c r="G3" s="92"/>
      <c r="H3" s="92"/>
      <c r="I3" s="92"/>
      <c r="J3" s="93"/>
      <c r="K3" s="93" t="s">
        <v>20</v>
      </c>
      <c r="L3" s="94" t="s">
        <v>122</v>
      </c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</row>
    <row r="4" spans="1:28" x14ac:dyDescent="0.3">
      <c r="A4" s="19">
        <f>'&lt;KLEIN - STICHPROBEN&gt;'!$B$39</f>
        <v>11</v>
      </c>
      <c r="B4" s="16">
        <f>'&lt;KLEIN - STICHPROBEN&gt;'!$B$40</f>
        <v>2.0418181816325616</v>
      </c>
      <c r="C4" s="20">
        <f>ROUND(('&lt;KLEIN - STICHPROBEN&gt;'!$B$38/(C30*K4))*100,1)</f>
        <v>63.6</v>
      </c>
      <c r="D4" s="45">
        <f>ROUND(('&lt;KLEIN - STICHPROBEN&gt;'!$B$40-(L23-((E29*L24)/L25^0.5)))/(C30*L4)*100,1)</f>
        <v>11.5</v>
      </c>
      <c r="E4" s="46">
        <f>(D4+F4)*0.5</f>
        <v>1.6500000000000004</v>
      </c>
      <c r="F4" s="47">
        <f>ROUND(('&lt;KLEIN - STICHPROBEN&gt;'!$B$40-(L23+((E29*L24)/L25^0.5)))/(C30*L4)*100,1)</f>
        <v>-8.1999999999999993</v>
      </c>
      <c r="G4" s="95"/>
      <c r="H4" s="76"/>
      <c r="I4" s="76"/>
      <c r="J4" s="96"/>
      <c r="K4" s="96">
        <f t="shared" ref="K4:K21" si="0">((2.71828184^(1*(LN(97.7312)-0.505825*2.71828184^(-0.197201*(A4))))))*10^-2</f>
        <v>0.92242538286613585</v>
      </c>
      <c r="L4" s="97">
        <f t="shared" ref="L4:L21" si="1">((2.71828184^(1*(LN(10.3795)-1.470455*2.71828184^(-0.109081*(A4))))))^-1</f>
        <v>0.15003421595432018</v>
      </c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</row>
    <row r="5" spans="1:28" x14ac:dyDescent="0.3">
      <c r="A5" s="21">
        <f>'&lt;KLEIN - STICHPROBEN&gt;'!$C$39</f>
        <v>13</v>
      </c>
      <c r="B5" s="21">
        <f>'&lt;KLEIN - STICHPROBEN&gt;'!$C$40</f>
        <v>1.982307692155207</v>
      </c>
      <c r="C5" s="22">
        <f>ROUND(('&lt;KLEIN - STICHPROBEN&gt;'!$C$38/(C30*K5))*100,1)</f>
        <v>50.1</v>
      </c>
      <c r="D5" s="48">
        <f>ROUND(('&lt;KLEIN - STICHPROBEN&gt;'!$C$40-(L23-((E29*L24)/L25^0.5)))/(C30*L5)*100,1)</f>
        <v>-25.9</v>
      </c>
      <c r="E5" s="49">
        <f t="shared" ref="E5:E21" si="2">(D5+F5)*0.5</f>
        <v>-36.65</v>
      </c>
      <c r="F5" s="50">
        <f>ROUND(('&lt;KLEIN - STICHPROBEN&gt;'!$C$40-(L23+((E29*L24)/L25^0.5)))/(C30*L5)*100,1)</f>
        <v>-47.4</v>
      </c>
      <c r="G5" s="76"/>
      <c r="H5" s="76"/>
      <c r="I5" s="76"/>
      <c r="J5" s="96"/>
      <c r="K5" s="96">
        <f t="shared" si="0"/>
        <v>0.93996657715278586</v>
      </c>
      <c r="L5" s="97">
        <f t="shared" si="1"/>
        <v>0.13755788930506302</v>
      </c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</row>
    <row r="6" spans="1:28" x14ac:dyDescent="0.3">
      <c r="A6" s="21">
        <f>'&lt;KLEIN - STICHPROBEN&gt;'!$D$39</f>
        <v>15</v>
      </c>
      <c r="B6" s="21">
        <f>'&lt;KLEIN - STICHPROBEN&gt;'!$D$40</f>
        <v>2.1653333331889777</v>
      </c>
      <c r="C6" s="22">
        <f>ROUND(('&lt;KLEIN - STICHPROBEN&gt;'!$D$38/(C30*K6))*100,1)</f>
        <v>63.5</v>
      </c>
      <c r="D6" s="48">
        <f>ROUND(('&lt;KLEIN - STICHPROBEN&gt;'!$D$40-(L23-((E29*L24)/L25^0.5)))/(C30*L6)*100,1)</f>
        <v>99</v>
      </c>
      <c r="E6" s="49">
        <f t="shared" si="2"/>
        <v>87.5</v>
      </c>
      <c r="F6" s="50">
        <f>ROUND(('&lt;KLEIN - STICHPROBEN&gt;'!$D$40-(L23+((E29*L24)/L25^0.5)))/(C30*L6)*100,1)</f>
        <v>76</v>
      </c>
      <c r="G6" s="76"/>
      <c r="H6" s="76"/>
      <c r="I6" s="76"/>
      <c r="J6" s="96"/>
      <c r="K6" s="96">
        <f t="shared" si="0"/>
        <v>0.95197862402039723</v>
      </c>
      <c r="L6" s="97">
        <f t="shared" si="1"/>
        <v>0.12828356426036391</v>
      </c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8" x14ac:dyDescent="0.3">
      <c r="A7" s="21">
        <f>'&lt;KLEIN - STICHPROBEN&gt;'!$E$39</f>
        <v>13</v>
      </c>
      <c r="B7" s="21">
        <f>'&lt;KLEIN - STICHPROBEN&gt;'!$E$40</f>
        <v>1.9953846152311243</v>
      </c>
      <c r="C7" s="22">
        <f>ROUND(('&lt;KLEIN - STICHPROBEN&gt;'!$E$38/(C30*K7))*100,1)</f>
        <v>51</v>
      </c>
      <c r="D7" s="48">
        <f>ROUND(('&lt;KLEIN - STICHPROBEN&gt;'!$E$40-(L23-((E29*L24)/L25^0.5)))/(C30*L7)*100,1)</f>
        <v>-17.399999999999999</v>
      </c>
      <c r="E7" s="49">
        <f t="shared" si="2"/>
        <v>-28.15</v>
      </c>
      <c r="F7" s="50">
        <f>ROUND(('&lt;KLEIN - STICHPROBEN&gt;'!$E$40-(L23+((E29*L24)/L25^0.5)))/(C30*L7)*100,1)</f>
        <v>-38.9</v>
      </c>
      <c r="G7" s="76"/>
      <c r="H7" s="76"/>
      <c r="I7" s="76"/>
      <c r="J7" s="96"/>
      <c r="K7" s="96">
        <f t="shared" si="0"/>
        <v>0.93996657715278586</v>
      </c>
      <c r="L7" s="97">
        <f t="shared" si="1"/>
        <v>0.13755788930506302</v>
      </c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</row>
    <row r="8" spans="1:28" x14ac:dyDescent="0.3">
      <c r="A8" s="21">
        <f>'&lt;KLEIN - STICHPROBEN&gt;'!$F$39</f>
        <v>10</v>
      </c>
      <c r="B8" s="21">
        <f>'&lt;KLEIN - STICHPROBEN&gt;'!$F$40</f>
        <v>2.0919999997908003</v>
      </c>
      <c r="C8" s="22">
        <f>ROUND(('&lt;KLEIN - STICHPROBEN&gt;'!$F$38/(C30*K8))*100,1)</f>
        <v>43.9</v>
      </c>
      <c r="D8" s="48">
        <f>ROUND(('&lt;KLEIN - STICHPROBEN&gt;'!$F$40-(L23-((E29*L24)/L25^0.5)))/(C30*L8)*100,1)</f>
        <v>39.200000000000003</v>
      </c>
      <c r="E8" s="49">
        <f t="shared" si="2"/>
        <v>29.85</v>
      </c>
      <c r="F8" s="50">
        <f>ROUND(('&lt;KLEIN - STICHPROBEN&gt;'!$F$40-(L23+((E29*L24)/L25^0.5)))/(C30*L8)*100,1)</f>
        <v>20.5</v>
      </c>
      <c r="G8" s="76"/>
      <c r="H8" s="76"/>
      <c r="I8" s="76"/>
      <c r="J8" s="96"/>
      <c r="K8" s="96">
        <f t="shared" si="0"/>
        <v>0.91087606571712632</v>
      </c>
      <c r="L8" s="97">
        <f t="shared" si="1"/>
        <v>0.15789235310054051</v>
      </c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</row>
    <row r="9" spans="1:28" x14ac:dyDescent="0.3">
      <c r="A9" s="21">
        <f>'&lt;KLEIN - STICHPROBEN&gt;'!$G$39</f>
        <v>12</v>
      </c>
      <c r="B9" s="21">
        <f>'&lt;KLEIN - STICHPROBEN&gt;'!$G$40</f>
        <v>2.1341666664888193</v>
      </c>
      <c r="C9" s="22">
        <f>ROUND(('&lt;KLEIN - STICHPROBEN&gt;'!$G$38/(C30*K9))*100,1)</f>
        <v>50.5</v>
      </c>
      <c r="D9" s="48">
        <f>ROUND(('&lt;KLEIN - STICHPROBEN&gt;'!$G$40-(L23-((E29*L24)/L25^0.5)))/(C30*L9)*100,1)</f>
        <v>69.3</v>
      </c>
      <c r="E9" s="49">
        <f t="shared" si="2"/>
        <v>59</v>
      </c>
      <c r="F9" s="50">
        <f>ROUND(('&lt;KLEIN - STICHPROBEN&gt;'!$G$40-(L23+((E29*L24)/L25^0.5)))/(C30*L9)*100,1)</f>
        <v>48.7</v>
      </c>
      <c r="G9" s="76"/>
      <c r="H9" s="76"/>
      <c r="I9" s="76"/>
      <c r="J9" s="96"/>
      <c r="K9" s="96">
        <f t="shared" si="0"/>
        <v>0.93201705553300418</v>
      </c>
      <c r="L9" s="97">
        <f t="shared" si="1"/>
        <v>0.14332128949574355</v>
      </c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</row>
    <row r="10" spans="1:28" x14ac:dyDescent="0.3">
      <c r="A10" s="21">
        <f>'&lt;KLEIN - STICHPROBEN&gt;'!$H$39</f>
        <v>17</v>
      </c>
      <c r="B10" s="23">
        <f>'&lt;KLEIN - STICHPROBEN&gt;'!$H$40</f>
        <v>2.0476470587030797</v>
      </c>
      <c r="C10" s="24">
        <f>ROUND(('&lt;KLEIN - STICHPROBEN&gt;'!$H$38/(C30*K10))*100,1)</f>
        <v>67.599999999999994</v>
      </c>
      <c r="D10" s="51">
        <f>ROUND(('&lt;KLEIN - STICHPROBEN&gt;'!$H$40-(L23-((E29*L24)/L25^0.5)))/(C30*L10)*100,1)</f>
        <v>18.5</v>
      </c>
      <c r="E10" s="52">
        <f t="shared" si="2"/>
        <v>6.3</v>
      </c>
      <c r="F10" s="53">
        <f>ROUND(('&lt;KLEIN - STICHPROBEN&gt;'!$H$40-(L23+((E29*L24)/L25^0.5)))/(C30*L10)*100,1)</f>
        <v>-5.9</v>
      </c>
      <c r="G10" s="76"/>
      <c r="H10" s="76"/>
      <c r="I10" s="76"/>
      <c r="J10" s="96"/>
      <c r="K10" s="96">
        <f t="shared" si="0"/>
        <v>0.96016223388609145</v>
      </c>
      <c r="L10" s="97">
        <f t="shared" si="1"/>
        <v>0.12128254948918601</v>
      </c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</row>
    <row r="11" spans="1:28" x14ac:dyDescent="0.3">
      <c r="A11" s="21">
        <f>'&lt;KLEIN - STICHPROBEN&gt;'!$I$39</f>
        <v>8</v>
      </c>
      <c r="B11" s="21">
        <f>'&lt;KLEIN - STICHPROBEN&gt;'!$I$40</f>
        <v>2.0199999997475002</v>
      </c>
      <c r="C11" s="22">
        <f>ROUND(('&lt;KLEIN - STICHPROBEN&gt;'!$I$38/(C30*K11))*100,1)</f>
        <v>57.5</v>
      </c>
      <c r="D11" s="48">
        <f>ROUND(('&lt;KLEIN - STICHPROBEN&gt;'!$I$40-(L23-((E29*L24)/L25^0.5)))/(C30*L11)*100,1)</f>
        <v>-1.2</v>
      </c>
      <c r="E11" s="49">
        <f t="shared" si="2"/>
        <v>-9.5</v>
      </c>
      <c r="F11" s="50">
        <f>ROUND(('&lt;KLEIN - STICHPROBEN&gt;'!$I$40-(L23+((E29*L24)/L25^0.5)))/(C30*L11)*100,1)</f>
        <v>-17.8</v>
      </c>
      <c r="G11" s="76"/>
      <c r="H11" s="76"/>
      <c r="I11" s="76"/>
      <c r="J11" s="96"/>
      <c r="K11" s="96">
        <f t="shared" si="0"/>
        <v>0.8803936149699404</v>
      </c>
      <c r="L11" s="97">
        <f t="shared" si="1"/>
        <v>0.17809957817690539</v>
      </c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</row>
    <row r="12" spans="1:28" x14ac:dyDescent="0.3">
      <c r="A12" s="21">
        <f>'&lt;KLEIN - STICHPROBEN&gt;'!$J$39</f>
        <v>23</v>
      </c>
      <c r="B12" s="21">
        <f>'&lt;KLEIN - STICHPROBEN&gt;'!$J$40</f>
        <v>2.008695652086578</v>
      </c>
      <c r="C12" s="22">
        <f>ROUND(('&lt;KLEIN - STICHPROBEN&gt;'!$J$38/(C30*K12))*100,1)</f>
        <v>62.2</v>
      </c>
      <c r="D12" s="48">
        <f>ROUND(('&lt;KLEIN - STICHPROBEN&gt;'!$J$40-(L23-((E29*L24)/L25^0.5)))/(C30*L12)*100,1)</f>
        <v>-11.2</v>
      </c>
      <c r="E12" s="49">
        <f t="shared" si="2"/>
        <v>-24.799999999999997</v>
      </c>
      <c r="F12" s="50">
        <f>ROUND(('&lt;KLEIN - STICHPROBEN&gt;'!$J$40-(L23+((E29*L24)/L25^0.5)))/(C30*L12)*100,1)</f>
        <v>-38.4</v>
      </c>
      <c r="G12" s="76"/>
      <c r="H12" s="76"/>
      <c r="I12" s="76"/>
      <c r="J12" s="96"/>
      <c r="K12" s="96">
        <f t="shared" si="0"/>
        <v>0.97202683003020474</v>
      </c>
      <c r="L12" s="97">
        <f t="shared" si="1"/>
        <v>0.10858788012707488</v>
      </c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</row>
    <row r="13" spans="1:28" x14ac:dyDescent="0.3">
      <c r="A13" s="21">
        <f>'&lt;KLEIN - STICHPROBEN&gt;'!$K$39</f>
        <v>13</v>
      </c>
      <c r="B13" s="21">
        <f>'&lt;KLEIN - STICHPROBEN&gt;'!$K$40</f>
        <v>2.0046153844611836</v>
      </c>
      <c r="C13" s="22">
        <f>ROUND(('&lt;KLEIN - STICHPROBEN&gt;'!$K$38/(C30*K13))*100,1)</f>
        <v>110.6</v>
      </c>
      <c r="D13" s="48">
        <f>ROUND(('&lt;KLEIN - STICHPROBEN&gt;'!$K$40-(L23-((E329*L24)/L25^0.5)))/(C30*L13)*100,1)</f>
        <v>-22.2</v>
      </c>
      <c r="E13" s="49">
        <f t="shared" si="2"/>
        <v>-27.6</v>
      </c>
      <c r="F13" s="50">
        <f>ROUND(('&lt;KLEIN - STICHPROBEN&gt;'!$K$40-(L23+((E29*L24)/L25^0.5)))/(C30*L13)*100,1)</f>
        <v>-33</v>
      </c>
      <c r="G13" s="76"/>
      <c r="H13" s="76"/>
      <c r="I13" s="76"/>
      <c r="J13" s="96"/>
      <c r="K13" s="96">
        <f t="shared" si="0"/>
        <v>0.93996657715278586</v>
      </c>
      <c r="L13" s="97">
        <f t="shared" si="1"/>
        <v>0.13755788930506302</v>
      </c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</row>
    <row r="14" spans="1:28" ht="14.4" customHeight="1" x14ac:dyDescent="0.3">
      <c r="A14" s="21">
        <f>'&lt;KLEIN - STICHPROBEN&gt;'!$L$39</f>
        <v>18</v>
      </c>
      <c r="B14" s="21">
        <f>'&lt;KLEIN - STICHPROBEN&gt;'!$L$40</f>
        <v>2.1111111109938272</v>
      </c>
      <c r="C14" s="22">
        <f>ROUND(('&lt;KLEIN - STICHPROBEN&gt;'!$L$38/(C30*K14))*100,1)</f>
        <v>57.2</v>
      </c>
      <c r="D14" s="48">
        <f>ROUND(('&lt;KLEIN - STICHPROBEN&gt;'!$L$40-(L23-((E29*L24)/L25^0.5)))/(C30*L14)*100,1)</f>
        <v>66.599999999999994</v>
      </c>
      <c r="E14" s="49">
        <f t="shared" si="2"/>
        <v>54.099999999999994</v>
      </c>
      <c r="F14" s="50">
        <f>ROUND(('&lt;KLEIN - STICHPROBEN&gt;'!$L$40-(L23+((E29*L24)/L25^0.5)))/(C30*L14)*100,1)</f>
        <v>41.6</v>
      </c>
      <c r="G14" s="76"/>
      <c r="H14" s="76"/>
      <c r="I14" s="76"/>
      <c r="J14" s="96"/>
      <c r="K14" s="96">
        <f t="shared" si="0"/>
        <v>0.9632093419465908</v>
      </c>
      <c r="L14" s="97">
        <f t="shared" si="1"/>
        <v>0.11843135687668833</v>
      </c>
      <c r="M14" s="90"/>
      <c r="N14" s="290"/>
      <c r="O14" s="290"/>
      <c r="P14" s="290"/>
      <c r="Q14" s="290"/>
      <c r="R14" s="90"/>
      <c r="S14" s="90"/>
      <c r="T14" s="90"/>
      <c r="U14" s="90"/>
      <c r="V14" s="90"/>
      <c r="W14" s="90"/>
    </row>
    <row r="15" spans="1:28" ht="14.4" customHeight="1" x14ac:dyDescent="0.45">
      <c r="A15" s="21">
        <f>'&lt;KLEIN - STICHPROBEN&gt;'!$M$39</f>
        <v>17</v>
      </c>
      <c r="B15" s="21">
        <f>'&lt;KLEIN - STICHPROBEN&gt;'!$M$40</f>
        <v>2.2252941175161594</v>
      </c>
      <c r="C15" s="22">
        <f>ROUND(('&lt;KLEIN - STICHPROBEN&gt;'!$M$38/(C30*K15))*100,1)</f>
        <v>76.8</v>
      </c>
      <c r="D15" s="48">
        <f>ROUND(('&lt;KLEIN - STICHPROBEN&gt;'!$M$40-(L23-((E29*L24)/L25^0.5)))/(C30*L15)*100,1)</f>
        <v>148.69999999999999</v>
      </c>
      <c r="E15" s="49">
        <f t="shared" si="2"/>
        <v>136.5</v>
      </c>
      <c r="F15" s="50">
        <f>ROUND(('&lt;KLEIN - STICHPROBEN&gt;'!$M$40-(L23+((E29*L24)/L25^0.5)))/(C30*L15)*100,1)</f>
        <v>124.3</v>
      </c>
      <c r="G15" s="76"/>
      <c r="H15" s="98"/>
      <c r="I15" s="98"/>
      <c r="J15" s="99"/>
      <c r="K15" s="96">
        <f t="shared" si="0"/>
        <v>0.96016223388609145</v>
      </c>
      <c r="L15" s="97">
        <f t="shared" si="1"/>
        <v>0.12128254948918601</v>
      </c>
      <c r="M15" s="90"/>
      <c r="N15" s="290"/>
      <c r="O15" s="290"/>
      <c r="P15" s="290"/>
      <c r="Q15" s="290"/>
      <c r="R15" s="90"/>
      <c r="S15" s="90"/>
      <c r="T15" s="90"/>
      <c r="U15" s="90"/>
      <c r="V15" s="90"/>
      <c r="W15" s="90"/>
    </row>
    <row r="16" spans="1:28" x14ac:dyDescent="0.3">
      <c r="A16" s="21">
        <f>'&lt;KLEIN - STICHPROBEN&gt;'!$N$39</f>
        <v>8</v>
      </c>
      <c r="B16" s="25">
        <f>'&lt;KLEIN - STICHPROBEN&gt;'!$N$40</f>
        <v>2.0849999997393751</v>
      </c>
      <c r="C16" s="26">
        <f>ROUND(('&lt;KLEIN - STICHPROBEN&gt;'!$N$38/(C30*K16))*100,1)</f>
        <v>53.5</v>
      </c>
      <c r="D16" s="54">
        <f>ROUND(('&lt;KLEIN - STICHPROBEN&gt;'!$N$40-(L23-((E29*L24)/L25^0.5)))/(C30*L16)*100,1)</f>
        <v>31.3</v>
      </c>
      <c r="E16" s="55">
        <f t="shared" si="2"/>
        <v>22.95</v>
      </c>
      <c r="F16" s="56">
        <f>ROUND(('&lt;KLEIN - STICHPROBEN&gt;'!$N$40-(L23+((E29*L24)/L25^0.5)))/(C30*L16)*100,1)</f>
        <v>14.6</v>
      </c>
      <c r="G16" s="76"/>
      <c r="H16" s="76"/>
      <c r="I16" s="76"/>
      <c r="J16" s="96"/>
      <c r="K16" s="96">
        <f t="shared" si="0"/>
        <v>0.8803936149699404</v>
      </c>
      <c r="L16" s="97">
        <f t="shared" si="1"/>
        <v>0.17809957817690539</v>
      </c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</row>
    <row r="17" spans="1:35" x14ac:dyDescent="0.3">
      <c r="A17" s="21">
        <f>'&lt;KLEIN - STICHPROBEN&gt;'!$O$39</f>
        <v>9</v>
      </c>
      <c r="B17" s="21">
        <f>'&lt;KLEIN - STICHPROBEN&gt;'!$O$40</f>
        <v>2.1233333330974071</v>
      </c>
      <c r="C17" s="22">
        <f>ROUND(('&lt;KLEIN - STICHPROBEN&gt;'!$O$38/(C30*K17))*100,1)</f>
        <v>45.6</v>
      </c>
      <c r="D17" s="48">
        <f>ROUND(('&lt;KLEIN - STICHPROBEN&gt;'!$O$40-(L23-((E29*L24)/L25^0.5)))/(C30*L17)*100,1)</f>
        <v>53.7</v>
      </c>
      <c r="E17" s="49">
        <f t="shared" si="2"/>
        <v>44.85</v>
      </c>
      <c r="F17" s="50">
        <f>ROUND(('&lt;KLEIN - STICHPROBEN&gt;'!$O$40-(L23+((E29*L24)/L25^0.5)))/(C30*L17)*100,1)</f>
        <v>36</v>
      </c>
      <c r="G17" s="76"/>
      <c r="H17" s="76"/>
      <c r="I17" s="76"/>
      <c r="J17" s="96"/>
      <c r="K17" s="96">
        <f t="shared" si="0"/>
        <v>0.89700427155560369</v>
      </c>
      <c r="L17" s="97">
        <f t="shared" si="1"/>
        <v>0.1671425884475182</v>
      </c>
      <c r="M17" s="90"/>
      <c r="N17" s="184"/>
      <c r="O17" s="90"/>
      <c r="P17" s="90"/>
      <c r="Q17" s="90"/>
      <c r="R17" s="90"/>
      <c r="S17" s="90"/>
      <c r="T17" s="90"/>
      <c r="U17" s="90"/>
      <c r="V17" s="90"/>
      <c r="W17" s="90"/>
    </row>
    <row r="18" spans="1:35" x14ac:dyDescent="0.3">
      <c r="A18" s="21">
        <f>'&lt;KLEIN - STICHPROBEN&gt;'!$P$39</f>
        <v>16</v>
      </c>
      <c r="B18" s="21">
        <f>'&lt;KLEIN - STICHPROBEN&gt;'!$P$40</f>
        <v>2.0306249998730861</v>
      </c>
      <c r="C18" s="22">
        <f>ROUND(('&lt;KLEIN - STICHPROBEN&gt;'!$P$38/(C30*K18))*100,1)</f>
        <v>47.4</v>
      </c>
      <c r="D18" s="48">
        <f>ROUND(('&lt;KLEIN - STICHPROBEN&gt;'!$P$40-(L23-((E29*L24)/L25^0.5)))/(C30*L18)*100,1)</f>
        <v>5.9</v>
      </c>
      <c r="E18" s="49">
        <f t="shared" si="2"/>
        <v>-5.9999999999999991</v>
      </c>
      <c r="F18" s="50">
        <f>ROUND(('&lt;KLEIN - STICHPROBEN&gt;'!$P$40-(L23+((E29*L24)/L25^0.5)))/(C30*L18)*100,1)</f>
        <v>-17.899999999999999</v>
      </c>
      <c r="G18" s="76"/>
      <c r="H18" s="76"/>
      <c r="I18" s="76"/>
      <c r="J18" s="96"/>
      <c r="K18" s="96">
        <f t="shared" si="0"/>
        <v>0.95646390780187174</v>
      </c>
      <c r="L18" s="97">
        <f t="shared" si="1"/>
        <v>0.12454338818444678</v>
      </c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</row>
    <row r="19" spans="1:35" x14ac:dyDescent="0.3">
      <c r="A19" s="21">
        <f>'&lt;KLEIN - STICHPROBEN&gt;'!$Q$39</f>
        <v>4</v>
      </c>
      <c r="B19" s="21">
        <f>'&lt;KLEIN - STICHPROBEN&gt;'!$Q$40</f>
        <v>2.3474999994131251</v>
      </c>
      <c r="C19" s="22">
        <f>ROUND(('&lt;KLEIN - STICHPROBEN&gt;'!$Q$38/(C30*K19))*100,1)</f>
        <v>64.099999999999994</v>
      </c>
      <c r="D19" s="48">
        <f>ROUND(('&lt;KLEIN - STICHPROBEN&gt;'!$Q$40-(L23-((E29*L24)/L25^0.5)))/(C30*L19)*100,1)</f>
        <v>115.9</v>
      </c>
      <c r="E19" s="49">
        <f t="shared" si="2"/>
        <v>109.95</v>
      </c>
      <c r="F19" s="50">
        <f>ROUND(('&lt;KLEIN - STICHPROBEN&gt;'!$Q$40-(L23+((E29*L24)/L25^0.5)))/(C30*L19)*100,1)</f>
        <v>104</v>
      </c>
      <c r="G19" s="76"/>
      <c r="H19" s="76"/>
      <c r="I19" s="76"/>
      <c r="J19" s="96"/>
      <c r="K19" s="96">
        <f t="shared" si="0"/>
        <v>0.77663089308893074</v>
      </c>
      <c r="L19" s="97">
        <f t="shared" si="1"/>
        <v>0.24924511652672018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</row>
    <row r="20" spans="1:35" x14ac:dyDescent="0.3">
      <c r="A20" s="21">
        <f>'&lt;KLEIN - STICHPROBEN&gt;'!$R$39</f>
        <v>18</v>
      </c>
      <c r="B20" s="21">
        <f>'&lt;KLEIN - STICHPROBEN&gt;'!$R$40</f>
        <v>1.9722222221126544</v>
      </c>
      <c r="C20" s="22">
        <f>ROUND(('&lt;KLEIN - STICHPROBEN&gt;'!$R$38/(C30*K20))*100,1)</f>
        <v>29.5</v>
      </c>
      <c r="D20" s="48">
        <f>ROUND(('&lt;KLEIN - STICHPROBEN&gt;'!$R$40-(L23-((E29*L24)/L25^0.5)))/(C30*L20)*100,1)</f>
        <v>-37.6</v>
      </c>
      <c r="E20" s="49">
        <f t="shared" si="2"/>
        <v>-50.1</v>
      </c>
      <c r="F20" s="50">
        <f>ROUND(('&lt;KLEIN - STICHPROBEN&gt;'!$R$40-(L23+((E29*L24)/L25^0.5)))/(C30*L20)*100,1)</f>
        <v>-62.6</v>
      </c>
      <c r="G20" s="76"/>
      <c r="H20" s="76"/>
      <c r="I20" s="76"/>
      <c r="J20" s="96"/>
      <c r="K20" s="96">
        <f t="shared" si="0"/>
        <v>0.9632093419465908</v>
      </c>
      <c r="L20" s="97">
        <f t="shared" si="1"/>
        <v>0.11843135687668833</v>
      </c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</row>
    <row r="21" spans="1:35" x14ac:dyDescent="0.3">
      <c r="A21" s="21">
        <f>'&lt;KLEIN - STICHPROBEN&gt;'!$S$39</f>
        <v>5</v>
      </c>
      <c r="B21" s="21">
        <f>'&lt;KLEIN - STICHPROBEN&gt;'!$S$40</f>
        <v>1.8899999996219998</v>
      </c>
      <c r="C21" s="22">
        <f>ROUND(('&lt;KLEIN - STICHPROBEN&gt;'!$S$38/(C30*K21))*100,1)</f>
        <v>24.2</v>
      </c>
      <c r="D21" s="48">
        <f>ROUND(('&lt;KLEIN - STICHPROBEN&gt;'!$S$40-(L23-((E29*L24)/L25^0.5)))/(C30*L21)*100,1)</f>
        <v>-52</v>
      </c>
      <c r="E21" s="49">
        <f t="shared" si="2"/>
        <v>-58.55</v>
      </c>
      <c r="F21" s="50">
        <f>ROUND(('&lt;KLEIN - STICHPROBEN&gt;'!$S$40-(L23+((E29*L24)/L25^0.5)))/(C30*L21)*100,1)</f>
        <v>-65.099999999999994</v>
      </c>
      <c r="G21" s="76"/>
      <c r="H21" s="76"/>
      <c r="I21" s="76"/>
      <c r="J21" s="96"/>
      <c r="K21" s="96">
        <f t="shared" si="0"/>
        <v>0.80924427026927515</v>
      </c>
      <c r="L21" s="97">
        <f t="shared" si="1"/>
        <v>0.22592623844881043</v>
      </c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</row>
    <row r="22" spans="1:35" x14ac:dyDescent="0.3">
      <c r="A22" s="27"/>
      <c r="B22" s="28"/>
      <c r="C22" s="29">
        <v>0</v>
      </c>
      <c r="D22" s="29"/>
      <c r="E22" s="29"/>
      <c r="F22" s="29"/>
      <c r="G22" s="29">
        <f>'&lt;BESCHREIBUNG&gt; SERIENSUMME'!$G$22</f>
        <v>66.849999999999994</v>
      </c>
      <c r="H22" s="29">
        <f>'&lt;BESCHREIBUNG&gt; SERIENSUMME'!$H$22</f>
        <v>-66.849999999999994</v>
      </c>
      <c r="I22" s="29"/>
      <c r="J22" s="64"/>
      <c r="K22" s="79" t="s">
        <v>104</v>
      </c>
      <c r="L22" s="8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</row>
    <row r="23" spans="1:35" x14ac:dyDescent="0.3">
      <c r="A23" s="30"/>
      <c r="B23" s="31"/>
      <c r="C23" s="32">
        <v>200</v>
      </c>
      <c r="D23" s="32"/>
      <c r="E23" s="32"/>
      <c r="F23" s="32"/>
      <c r="G23" s="32">
        <f>'&lt;BESCHREIBUNG&gt; SERIENSUMME'!$G$23</f>
        <v>66.849999999999994</v>
      </c>
      <c r="H23" s="32">
        <f>'&lt;BESCHREIBUNG&gt; SERIENSUMME'!$H$23</f>
        <v>-66.849999999999994</v>
      </c>
      <c r="I23" s="32"/>
      <c r="J23" s="65"/>
      <c r="K23" s="86" t="s">
        <v>9</v>
      </c>
      <c r="L23" s="5">
        <v>2.0390000000000001</v>
      </c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</row>
    <row r="24" spans="1:35" x14ac:dyDescent="0.3">
      <c r="A24" s="33"/>
      <c r="B24" s="34"/>
      <c r="C24" s="32">
        <f>'&lt;BESCHREIBUNG&gt; SERIENSUMME'!$C$24</f>
        <v>66.849999999999994</v>
      </c>
      <c r="D24" s="32"/>
      <c r="E24" s="32"/>
      <c r="F24" s="32"/>
      <c r="G24" s="32"/>
      <c r="H24" s="32"/>
      <c r="I24" s="32">
        <f>$J$26*-1</f>
        <v>500</v>
      </c>
      <c r="J24" s="66"/>
      <c r="K24" s="87" t="s">
        <v>81</v>
      </c>
      <c r="L24" s="5">
        <v>0.17599999999999999</v>
      </c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</row>
    <row r="25" spans="1:35" x14ac:dyDescent="0.3">
      <c r="A25" s="35"/>
      <c r="B25" s="31"/>
      <c r="C25" s="32">
        <f>'&lt;BESCHREIBUNG&gt; SERIENSUMME'!$C$25</f>
        <v>66.849999999999994</v>
      </c>
      <c r="D25" s="32"/>
      <c r="E25" s="32"/>
      <c r="F25" s="32"/>
      <c r="G25" s="32"/>
      <c r="H25" s="32"/>
      <c r="I25" s="32">
        <f>$J$27</f>
        <v>0</v>
      </c>
      <c r="J25" s="67"/>
      <c r="K25" s="87" t="s">
        <v>8</v>
      </c>
      <c r="L25" s="5">
        <v>448</v>
      </c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</row>
    <row r="26" spans="1:35" x14ac:dyDescent="0.3">
      <c r="A26" s="35"/>
      <c r="B26" s="31"/>
      <c r="C26" s="32">
        <f>'&lt;BESCHREIBUNG&gt; SERIENSUMME'!$C$26</f>
        <v>66.849999999999994</v>
      </c>
      <c r="D26" s="32"/>
      <c r="E26" s="57"/>
      <c r="F26" s="58"/>
      <c r="G26" s="57"/>
      <c r="H26" s="58"/>
      <c r="I26" s="68"/>
      <c r="J26" s="59">
        <f>'&lt;BESCHREIBUNG&gt; SERIENSUMME'!$J$26</f>
        <v>-500</v>
      </c>
      <c r="K26" s="87" t="s">
        <v>105</v>
      </c>
      <c r="L26" s="5">
        <v>95</v>
      </c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</row>
    <row r="27" spans="1:35" x14ac:dyDescent="0.3">
      <c r="A27" s="35"/>
      <c r="B27" s="31"/>
      <c r="C27" s="32">
        <f>'&lt;BESCHREIBUNG&gt; SERIENSUMME'!$C$27</f>
        <v>66.849999999999994</v>
      </c>
      <c r="D27" s="57"/>
      <c r="E27" s="57"/>
      <c r="F27" s="58"/>
      <c r="G27" s="58"/>
      <c r="H27" s="58"/>
      <c r="I27" s="58"/>
      <c r="J27" s="59">
        <f>'&lt;BESCHREIBUNG&gt; SERIENSUMME'!$J$27</f>
        <v>0</v>
      </c>
      <c r="K27" s="81" t="s">
        <v>106</v>
      </c>
      <c r="L27" s="82">
        <f>IF(L26=95,95,90)</f>
        <v>95</v>
      </c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</row>
    <row r="28" spans="1:35" x14ac:dyDescent="0.3">
      <c r="A28" s="36"/>
      <c r="B28" s="32" t="s">
        <v>112</v>
      </c>
      <c r="C28" s="32">
        <f>'&lt;BESCHREIBUNG&gt; SERIENSUMME'!$C$28</f>
        <v>3.2920974275312171</v>
      </c>
      <c r="D28" s="32" t="s">
        <v>113</v>
      </c>
      <c r="E28" s="32">
        <f>'&lt;BESCHREIBUNG&gt; SERIENSUMME'!$E$28</f>
        <v>2.0028547346731704</v>
      </c>
      <c r="F28" s="38" t="s">
        <v>114</v>
      </c>
      <c r="G28" s="69">
        <f>'&lt;BESCHREIBUNG&gt; SERIENSUMME'!$C$29</f>
        <v>3.2464552194699485</v>
      </c>
      <c r="H28" s="38" t="s">
        <v>115</v>
      </c>
      <c r="I28" s="32">
        <f>'&lt;BESCHREIBUNG&gt; SERIENSUMME'!$E$29</f>
        <v>1.6555713616571597</v>
      </c>
      <c r="J28" s="70"/>
      <c r="K28" s="83" t="s">
        <v>119</v>
      </c>
      <c r="L28" s="84"/>
      <c r="M28" s="291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</row>
    <row r="29" spans="1:35" x14ac:dyDescent="0.3">
      <c r="A29" s="37" t="s">
        <v>78</v>
      </c>
      <c r="B29" s="32" t="s">
        <v>116</v>
      </c>
      <c r="C29" s="32">
        <f>'&lt;BESCHREIBUNG&gt; SERIENSUMME'!$C$30</f>
        <v>3.2920974275312171</v>
      </c>
      <c r="D29" s="32" t="s">
        <v>117</v>
      </c>
      <c r="E29" s="59">
        <f>'&lt;BESCHREIBUNG&gt; SERIENSUMME'!$E$30</f>
        <v>2.0028547346731704</v>
      </c>
      <c r="F29" s="60" t="s">
        <v>111</v>
      </c>
      <c r="G29" s="71"/>
      <c r="H29" s="72"/>
      <c r="I29" s="73"/>
      <c r="J29" s="74"/>
      <c r="K29" s="83" t="s">
        <v>120</v>
      </c>
      <c r="L29" s="84"/>
      <c r="M29" s="291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</row>
    <row r="30" spans="1:35" x14ac:dyDescent="0.3">
      <c r="A30" s="37"/>
      <c r="B30" s="38" t="s">
        <v>118</v>
      </c>
      <c r="C30" s="32">
        <f>'&lt;BESCHREIBUNG&gt; SERIENSUMME'!$C$31</f>
        <v>1.1255099453815776</v>
      </c>
      <c r="D30" s="61"/>
      <c r="E30" s="61"/>
      <c r="F30" s="62" t="s">
        <v>79</v>
      </c>
      <c r="G30" s="5">
        <v>5</v>
      </c>
      <c r="H30" s="75" t="s">
        <v>132</v>
      </c>
      <c r="I30" s="73">
        <f>'AUSSCHUSS - GANGLINIE'!$I$33</f>
        <v>2.3460000000000001</v>
      </c>
      <c r="J30" s="76"/>
      <c r="K30" s="83" t="s">
        <v>121</v>
      </c>
      <c r="L30" s="85"/>
      <c r="M30" s="76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</row>
    <row r="31" spans="1:35" x14ac:dyDescent="0.3">
      <c r="A31" s="39"/>
      <c r="B31" s="40"/>
      <c r="C31" s="41"/>
      <c r="D31" s="63"/>
      <c r="E31" s="63"/>
      <c r="F31" s="62" t="s">
        <v>79</v>
      </c>
      <c r="G31" s="78">
        <f>$G$30</f>
        <v>5</v>
      </c>
      <c r="H31" s="75" t="s">
        <v>80</v>
      </c>
      <c r="I31" s="73">
        <f>'AUSSCHUSS - GANGLINIE'!$I$31</f>
        <v>1.732</v>
      </c>
      <c r="J31" s="77"/>
      <c r="K31" s="280" t="s">
        <v>135</v>
      </c>
      <c r="L31" s="281"/>
      <c r="M31" s="76"/>
      <c r="N31" s="90"/>
      <c r="O31" s="90"/>
      <c r="P31" s="90"/>
      <c r="Q31" s="90"/>
      <c r="R31" s="90"/>
      <c r="S31" s="90"/>
      <c r="T31" s="90"/>
      <c r="U31" s="90"/>
    </row>
    <row r="32" spans="1:35" x14ac:dyDescent="0.3">
      <c r="A32" s="92"/>
      <c r="B32" s="92"/>
      <c r="C32" s="92"/>
      <c r="D32" s="92"/>
      <c r="E32" s="92"/>
      <c r="F32" s="291"/>
      <c r="G32" s="292"/>
      <c r="H32" s="291"/>
      <c r="I32" s="292"/>
      <c r="J32" s="92"/>
      <c r="K32" s="92"/>
      <c r="L32" s="76"/>
      <c r="M32" s="90"/>
      <c r="N32" s="90"/>
      <c r="O32" s="90"/>
      <c r="P32" s="90"/>
      <c r="Q32" s="90"/>
      <c r="R32" s="90"/>
      <c r="S32" s="90"/>
      <c r="T32" s="90"/>
      <c r="U32" s="90"/>
    </row>
    <row r="33" spans="1:21" x14ac:dyDescent="0.3">
      <c r="A33" s="90"/>
      <c r="B33" s="90"/>
      <c r="C33" s="90"/>
      <c r="D33" s="293"/>
      <c r="E33" s="184"/>
      <c r="F33" s="90"/>
      <c r="G33" s="292"/>
      <c r="H33" s="291"/>
      <c r="I33" s="292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</row>
    <row r="34" spans="1:21" x14ac:dyDescent="0.3">
      <c r="A34" s="90"/>
      <c r="B34" s="90"/>
      <c r="C34" s="90"/>
      <c r="D34" s="90"/>
      <c r="E34" s="184"/>
      <c r="F34" s="291"/>
      <c r="G34" s="292"/>
      <c r="H34" s="291"/>
      <c r="I34" s="292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</row>
    <row r="35" spans="1:21" x14ac:dyDescent="0.3">
      <c r="A35" s="90"/>
      <c r="B35" s="90"/>
      <c r="C35" s="90"/>
      <c r="D35" s="90"/>
      <c r="E35" s="90"/>
      <c r="F35" s="294"/>
      <c r="G35" s="295"/>
      <c r="H35" s="294"/>
      <c r="I35" s="295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</row>
    <row r="36" spans="1:21" x14ac:dyDescent="0.3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</row>
    <row r="37" spans="1:21" x14ac:dyDescent="0.3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</row>
    <row r="38" spans="1:21" x14ac:dyDescent="0.3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</row>
    <row r="39" spans="1:21" x14ac:dyDescent="0.3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</row>
    <row r="40" spans="1:21" x14ac:dyDescent="0.3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</row>
    <row r="41" spans="1:21" x14ac:dyDescent="0.3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</row>
    <row r="42" spans="1:21" x14ac:dyDescent="0.3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</row>
    <row r="43" spans="1:21" x14ac:dyDescent="0.3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</row>
    <row r="44" spans="1:21" x14ac:dyDescent="0.3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</row>
    <row r="45" spans="1:21" x14ac:dyDescent="0.3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</row>
    <row r="46" spans="1:21" x14ac:dyDescent="0.3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</row>
    <row r="47" spans="1:21" x14ac:dyDescent="0.3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</row>
    <row r="48" spans="1:21" x14ac:dyDescent="0.3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</row>
    <row r="49" spans="1:21" x14ac:dyDescent="0.3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</row>
    <row r="50" spans="1:21" x14ac:dyDescent="0.3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</row>
    <row r="51" spans="1:21" x14ac:dyDescent="0.3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</row>
    <row r="52" spans="1:21" x14ac:dyDescent="0.3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</row>
    <row r="53" spans="1:21" x14ac:dyDescent="0.3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</row>
    <row r="54" spans="1:21" x14ac:dyDescent="0.3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</row>
    <row r="55" spans="1:21" x14ac:dyDescent="0.3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</row>
    <row r="56" spans="1:21" x14ac:dyDescent="0.3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</row>
    <row r="57" spans="1:21" x14ac:dyDescent="0.3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</row>
    <row r="58" spans="1:21" x14ac:dyDescent="0.3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</row>
    <row r="59" spans="1:21" x14ac:dyDescent="0.3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</row>
    <row r="60" spans="1:21" x14ac:dyDescent="0.3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</row>
    <row r="61" spans="1:21" x14ac:dyDescent="0.3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</row>
    <row r="62" spans="1:21" x14ac:dyDescent="0.3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</row>
    <row r="63" spans="1:21" x14ac:dyDescent="0.3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</row>
    <row r="64" spans="1:21" x14ac:dyDescent="0.3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</row>
    <row r="65" spans="1:21" x14ac:dyDescent="0.3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</row>
    <row r="66" spans="1:21" x14ac:dyDescent="0.3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</row>
    <row r="67" spans="1:21" x14ac:dyDescent="0.3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</row>
    <row r="68" spans="1:21" x14ac:dyDescent="0.3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</row>
    <row r="69" spans="1:21" x14ac:dyDescent="0.3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x14ac:dyDescent="0.3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x14ac:dyDescent="0.3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x14ac:dyDescent="0.3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x14ac:dyDescent="0.3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x14ac:dyDescent="0.3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x14ac:dyDescent="0.3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x14ac:dyDescent="0.3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x14ac:dyDescent="0.3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x14ac:dyDescent="0.3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x14ac:dyDescent="0.3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x14ac:dyDescent="0.3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x14ac:dyDescent="0.3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x14ac:dyDescent="0.3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x14ac:dyDescent="0.3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x14ac:dyDescent="0.3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x14ac:dyDescent="0.3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x14ac:dyDescent="0.3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x14ac:dyDescent="0.3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x14ac:dyDescent="0.3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x14ac:dyDescent="0.3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x14ac:dyDescent="0.3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x14ac:dyDescent="0.3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x14ac:dyDescent="0.3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x14ac:dyDescent="0.3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x14ac:dyDescent="0.3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x14ac:dyDescent="0.3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x14ac:dyDescent="0.3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x14ac:dyDescent="0.3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x14ac:dyDescent="0.3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x14ac:dyDescent="0.3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x14ac:dyDescent="0.3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x14ac:dyDescent="0.3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x14ac:dyDescent="0.3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x14ac:dyDescent="0.3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x14ac:dyDescent="0.3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x14ac:dyDescent="0.3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x14ac:dyDescent="0.3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x14ac:dyDescent="0.3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x14ac:dyDescent="0.3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x14ac:dyDescent="0.3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x14ac:dyDescent="0.3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x14ac:dyDescent="0.3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x14ac:dyDescent="0.3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x14ac:dyDescent="0.3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x14ac:dyDescent="0.3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x14ac:dyDescent="0.3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x14ac:dyDescent="0.3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x14ac:dyDescent="0.3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x14ac:dyDescent="0.3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x14ac:dyDescent="0.3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x14ac:dyDescent="0.3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x14ac:dyDescent="0.3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x14ac:dyDescent="0.3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x14ac:dyDescent="0.3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x14ac:dyDescent="0.3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x14ac:dyDescent="0.3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x14ac:dyDescent="0.3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x14ac:dyDescent="0.3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x14ac:dyDescent="0.3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x14ac:dyDescent="0.3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x14ac:dyDescent="0.3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x14ac:dyDescent="0.3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x14ac:dyDescent="0.3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x14ac:dyDescent="0.3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x14ac:dyDescent="0.3">
      <c r="A134" s="90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x14ac:dyDescent="0.3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x14ac:dyDescent="0.3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x14ac:dyDescent="0.3">
      <c r="A137" s="90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x14ac:dyDescent="0.3">
      <c r="A138" s="90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x14ac:dyDescent="0.3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x14ac:dyDescent="0.3">
      <c r="A140" s="90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x14ac:dyDescent="0.3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x14ac:dyDescent="0.3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21" x14ac:dyDescent="0.3">
      <c r="A143" s="90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</row>
    <row r="144" spans="1:21" x14ac:dyDescent="0.3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</row>
    <row r="145" spans="1:21" x14ac:dyDescent="0.3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</row>
    <row r="146" spans="1:21" x14ac:dyDescent="0.3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</row>
    <row r="147" spans="1:21" x14ac:dyDescent="0.3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</row>
    <row r="148" spans="1:21" x14ac:dyDescent="0.3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</row>
    <row r="149" spans="1:21" x14ac:dyDescent="0.3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</row>
    <row r="150" spans="1:21" x14ac:dyDescent="0.3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</row>
    <row r="151" spans="1:21" x14ac:dyDescent="0.3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</row>
    <row r="152" spans="1:21" x14ac:dyDescent="0.3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</row>
    <row r="153" spans="1:21" x14ac:dyDescent="0.3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</row>
    <row r="154" spans="1:21" x14ac:dyDescent="0.3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</row>
    <row r="155" spans="1:21" x14ac:dyDescent="0.3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</row>
    <row r="156" spans="1:21" x14ac:dyDescent="0.3">
      <c r="A156" s="90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</row>
    <row r="157" spans="1:21" x14ac:dyDescent="0.3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</row>
    <row r="158" spans="1:21" x14ac:dyDescent="0.3">
      <c r="A158" s="90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</row>
    <row r="159" spans="1:21" x14ac:dyDescent="0.3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</row>
    <row r="160" spans="1:21" x14ac:dyDescent="0.3">
      <c r="A160" s="90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</row>
    <row r="161" spans="1:21" x14ac:dyDescent="0.3">
      <c r="A161" s="90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</row>
    <row r="162" spans="1:21" x14ac:dyDescent="0.3">
      <c r="A162" s="90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</row>
    <row r="163" spans="1:21" x14ac:dyDescent="0.3">
      <c r="A163" s="90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</row>
    <row r="164" spans="1:21" x14ac:dyDescent="0.3">
      <c r="A164" s="90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</row>
    <row r="165" spans="1:21" x14ac:dyDescent="0.3">
      <c r="A165" s="90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</row>
    <row r="166" spans="1:21" x14ac:dyDescent="0.3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</row>
    <row r="167" spans="1:21" x14ac:dyDescent="0.3">
      <c r="A167" s="90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</row>
    <row r="168" spans="1:21" x14ac:dyDescent="0.3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</row>
    <row r="169" spans="1:21" x14ac:dyDescent="0.3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</row>
    <row r="170" spans="1:21" x14ac:dyDescent="0.3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</row>
    <row r="171" spans="1:21" x14ac:dyDescent="0.3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</row>
    <row r="172" spans="1:21" x14ac:dyDescent="0.3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</row>
    <row r="173" spans="1:21" x14ac:dyDescent="0.3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</row>
    <row r="174" spans="1:21" x14ac:dyDescent="0.3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</row>
    <row r="175" spans="1:21" x14ac:dyDescent="0.3">
      <c r="A175" s="90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</row>
    <row r="176" spans="1:21" x14ac:dyDescent="0.3">
      <c r="A176" s="90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</row>
    <row r="177" spans="1:21" x14ac:dyDescent="0.3">
      <c r="A177" s="90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</row>
    <row r="178" spans="1:21" x14ac:dyDescent="0.3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</row>
    <row r="179" spans="1:21" x14ac:dyDescent="0.3">
      <c r="A179" s="90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</row>
    <row r="180" spans="1:21" x14ac:dyDescent="0.3">
      <c r="A180" s="90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</row>
    <row r="181" spans="1:21" x14ac:dyDescent="0.3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</row>
    <row r="182" spans="1:21" x14ac:dyDescent="0.3">
      <c r="A182" s="90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</row>
    <row r="183" spans="1:21" x14ac:dyDescent="0.3">
      <c r="A183" s="90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</row>
    <row r="184" spans="1:21" x14ac:dyDescent="0.3">
      <c r="A184" s="90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</row>
    <row r="185" spans="1:21" x14ac:dyDescent="0.3">
      <c r="A185" s="90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</row>
    <row r="186" spans="1:21" x14ac:dyDescent="0.3">
      <c r="A186" s="90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</row>
    <row r="187" spans="1:21" x14ac:dyDescent="0.3">
      <c r="A187" s="9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</row>
    <row r="188" spans="1:21" x14ac:dyDescent="0.3">
      <c r="A188" s="90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</row>
    <row r="189" spans="1:21" x14ac:dyDescent="0.3">
      <c r="A189" s="90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</row>
    <row r="190" spans="1:21" x14ac:dyDescent="0.3">
      <c r="A190" s="90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</row>
    <row r="191" spans="1:21" x14ac:dyDescent="0.3">
      <c r="A191" s="90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</row>
    <row r="192" spans="1:21" x14ac:dyDescent="0.3">
      <c r="A192" s="90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</row>
    <row r="193" spans="1:21" x14ac:dyDescent="0.3">
      <c r="A193" s="90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</row>
    <row r="194" spans="1:21" x14ac:dyDescent="0.3">
      <c r="A194" s="90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</row>
    <row r="195" spans="1:21" x14ac:dyDescent="0.3">
      <c r="A195" s="90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</row>
    <row r="196" spans="1:21" x14ac:dyDescent="0.3">
      <c r="A196" s="90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</row>
    <row r="197" spans="1:21" x14ac:dyDescent="0.3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</row>
    <row r="198" spans="1:21" x14ac:dyDescent="0.3">
      <c r="A198" s="90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</row>
    <row r="199" spans="1:21" x14ac:dyDescent="0.3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</row>
    <row r="200" spans="1:21" x14ac:dyDescent="0.3">
      <c r="A200" s="90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</row>
    <row r="201" spans="1:21" x14ac:dyDescent="0.3">
      <c r="A201" s="90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</row>
    <row r="202" spans="1:21" x14ac:dyDescent="0.3">
      <c r="A202" s="90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</row>
    <row r="203" spans="1:21" x14ac:dyDescent="0.3">
      <c r="A203" s="90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</row>
    <row r="204" spans="1:21" x14ac:dyDescent="0.3">
      <c r="A204" s="90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</row>
    <row r="205" spans="1:21" x14ac:dyDescent="0.3">
      <c r="A205" s="90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</row>
    <row r="206" spans="1:21" x14ac:dyDescent="0.3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</row>
    <row r="207" spans="1:21" x14ac:dyDescent="0.3">
      <c r="A207" s="90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</row>
    <row r="208" spans="1:21" x14ac:dyDescent="0.3">
      <c r="A208" s="90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</row>
    <row r="209" spans="1:21" x14ac:dyDescent="0.3">
      <c r="A209" s="90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</row>
    <row r="210" spans="1:21" x14ac:dyDescent="0.3">
      <c r="A210" s="90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</row>
    <row r="211" spans="1:21" x14ac:dyDescent="0.3">
      <c r="A211" s="90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</row>
    <row r="212" spans="1:21" x14ac:dyDescent="0.3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</row>
    <row r="213" spans="1:21" x14ac:dyDescent="0.3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</row>
    <row r="214" spans="1:21" x14ac:dyDescent="0.3">
      <c r="A214" s="90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</row>
    <row r="215" spans="1:21" x14ac:dyDescent="0.3">
      <c r="A215" s="90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</row>
    <row r="216" spans="1:21" x14ac:dyDescent="0.3">
      <c r="A216" s="90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</row>
    <row r="217" spans="1:21" x14ac:dyDescent="0.3">
      <c r="A217" s="90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</row>
    <row r="218" spans="1:21" x14ac:dyDescent="0.3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</row>
    <row r="219" spans="1:21" x14ac:dyDescent="0.3">
      <c r="A219" s="90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</row>
    <row r="220" spans="1:21" x14ac:dyDescent="0.3">
      <c r="A220" s="90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</row>
    <row r="221" spans="1:21" x14ac:dyDescent="0.3">
      <c r="A221" s="90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</row>
    <row r="222" spans="1:21" x14ac:dyDescent="0.3">
      <c r="A222" s="90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</row>
    <row r="223" spans="1:21" x14ac:dyDescent="0.3">
      <c r="A223" s="90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</row>
    <row r="224" spans="1:21" x14ac:dyDescent="0.3">
      <c r="A224" s="90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</row>
    <row r="225" spans="1:21" x14ac:dyDescent="0.3">
      <c r="A225" s="90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</row>
    <row r="226" spans="1:21" x14ac:dyDescent="0.3">
      <c r="A226" s="90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</row>
    <row r="227" spans="1:21" x14ac:dyDescent="0.3">
      <c r="A227" s="90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</row>
    <row r="228" spans="1:21" x14ac:dyDescent="0.3">
      <c r="A228" s="90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</row>
    <row r="229" spans="1:21" x14ac:dyDescent="0.3">
      <c r="A229" s="90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</row>
    <row r="230" spans="1:21" x14ac:dyDescent="0.3">
      <c r="A230" s="90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</row>
    <row r="231" spans="1:21" x14ac:dyDescent="0.3">
      <c r="A231" s="90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</row>
    <row r="232" spans="1:21" x14ac:dyDescent="0.3">
      <c r="A232" s="90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</row>
    <row r="233" spans="1:21" x14ac:dyDescent="0.3">
      <c r="A233" s="90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</row>
    <row r="234" spans="1:21" x14ac:dyDescent="0.3">
      <c r="A234" s="90"/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</row>
    <row r="235" spans="1:21" x14ac:dyDescent="0.3">
      <c r="A235" s="90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</row>
    <row r="236" spans="1:21" x14ac:dyDescent="0.3">
      <c r="A236" s="90"/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</row>
    <row r="237" spans="1:21" x14ac:dyDescent="0.3">
      <c r="A237" s="90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</row>
    <row r="238" spans="1:21" x14ac:dyDescent="0.3">
      <c r="A238" s="90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</row>
    <row r="239" spans="1:21" x14ac:dyDescent="0.3">
      <c r="A239" s="90"/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</row>
    <row r="240" spans="1:21" x14ac:dyDescent="0.3">
      <c r="A240" s="90"/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</row>
    <row r="241" spans="1:21" x14ac:dyDescent="0.3">
      <c r="A241" s="90"/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</row>
    <row r="242" spans="1:21" x14ac:dyDescent="0.3">
      <c r="A242" s="90"/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</row>
    <row r="243" spans="1:21" x14ac:dyDescent="0.3">
      <c r="A243" s="90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</row>
    <row r="244" spans="1:21" x14ac:dyDescent="0.3">
      <c r="A244" s="90"/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</row>
    <row r="245" spans="1:21" x14ac:dyDescent="0.3">
      <c r="A245" s="90"/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</row>
    <row r="246" spans="1:21" x14ac:dyDescent="0.3">
      <c r="A246" s="90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</row>
    <row r="247" spans="1:21" x14ac:dyDescent="0.3">
      <c r="A247" s="90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</row>
    <row r="248" spans="1:21" x14ac:dyDescent="0.3">
      <c r="A248" s="90"/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</row>
    <row r="249" spans="1:21" x14ac:dyDescent="0.3">
      <c r="A249" s="90"/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</row>
    <row r="250" spans="1:21" x14ac:dyDescent="0.3">
      <c r="A250" s="90"/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</row>
    <row r="251" spans="1:21" x14ac:dyDescent="0.3">
      <c r="A251" s="90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</row>
    <row r="252" spans="1:21" x14ac:dyDescent="0.3">
      <c r="A252" s="90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</row>
    <row r="253" spans="1:21" x14ac:dyDescent="0.3">
      <c r="A253" s="90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</row>
    <row r="254" spans="1:21" x14ac:dyDescent="0.3">
      <c r="A254" s="90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</row>
    <row r="255" spans="1:21" x14ac:dyDescent="0.3">
      <c r="A255" s="90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</row>
    <row r="256" spans="1:21" x14ac:dyDescent="0.3">
      <c r="A256" s="90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</row>
    <row r="257" spans="1:21" x14ac:dyDescent="0.3">
      <c r="A257" s="90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</row>
    <row r="258" spans="1:21" x14ac:dyDescent="0.3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</row>
    <row r="259" spans="1:21" x14ac:dyDescent="0.3">
      <c r="A259" s="90"/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</row>
    <row r="260" spans="1:21" x14ac:dyDescent="0.3">
      <c r="A260" s="90"/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</row>
    <row r="261" spans="1:21" x14ac:dyDescent="0.3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</row>
    <row r="262" spans="1:21" x14ac:dyDescent="0.3">
      <c r="A262" s="90"/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</row>
    <row r="263" spans="1:21" x14ac:dyDescent="0.3">
      <c r="A263" s="90"/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</row>
    <row r="264" spans="1:21" x14ac:dyDescent="0.3">
      <c r="A264" s="90"/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</row>
    <row r="265" spans="1:21" x14ac:dyDescent="0.3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</row>
    <row r="266" spans="1:21" x14ac:dyDescent="0.3">
      <c r="A266" s="90"/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</row>
    <row r="267" spans="1:21" x14ac:dyDescent="0.3">
      <c r="A267" s="90"/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</row>
    <row r="268" spans="1:21" x14ac:dyDescent="0.3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</row>
    <row r="269" spans="1:21" x14ac:dyDescent="0.3">
      <c r="A269" s="90"/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</row>
    <row r="270" spans="1:21" x14ac:dyDescent="0.3">
      <c r="A270" s="90"/>
      <c r="B270" s="90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</row>
    <row r="271" spans="1:21" x14ac:dyDescent="0.3">
      <c r="A271" s="90"/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</row>
    <row r="272" spans="1:21" x14ac:dyDescent="0.3">
      <c r="A272" s="90"/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</row>
    <row r="273" spans="1:21" x14ac:dyDescent="0.3">
      <c r="A273" s="90"/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</row>
    <row r="274" spans="1:21" x14ac:dyDescent="0.3">
      <c r="A274" s="90"/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</row>
    <row r="275" spans="1:21" x14ac:dyDescent="0.3">
      <c r="A275" s="90"/>
      <c r="B275" s="90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</row>
    <row r="276" spans="1:21" x14ac:dyDescent="0.3">
      <c r="A276" s="90"/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</row>
    <row r="277" spans="1:21" x14ac:dyDescent="0.3">
      <c r="A277" s="90"/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</row>
    <row r="278" spans="1:21" x14ac:dyDescent="0.3">
      <c r="A278" s="90"/>
      <c r="B278" s="90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</row>
    <row r="279" spans="1:21" x14ac:dyDescent="0.3">
      <c r="A279" s="90"/>
      <c r="B279" s="90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</row>
    <row r="280" spans="1:21" x14ac:dyDescent="0.3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</row>
    <row r="281" spans="1:21" x14ac:dyDescent="0.3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</row>
    <row r="282" spans="1:21" x14ac:dyDescent="0.3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</row>
    <row r="283" spans="1:21" x14ac:dyDescent="0.3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</row>
    <row r="284" spans="1:21" x14ac:dyDescent="0.3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</row>
    <row r="285" spans="1:21" x14ac:dyDescent="0.3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</row>
    <row r="286" spans="1:21" x14ac:dyDescent="0.3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</row>
    <row r="287" spans="1:21" x14ac:dyDescent="0.3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</row>
    <row r="288" spans="1:21" x14ac:dyDescent="0.3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</row>
    <row r="289" spans="1:21" x14ac:dyDescent="0.3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</row>
    <row r="290" spans="1:21" x14ac:dyDescent="0.3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</row>
    <row r="291" spans="1:21" x14ac:dyDescent="0.3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</row>
    <row r="292" spans="1:21" x14ac:dyDescent="0.3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</row>
    <row r="293" spans="1:21" x14ac:dyDescent="0.3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</row>
    <row r="294" spans="1:21" x14ac:dyDescent="0.3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</row>
    <row r="295" spans="1:21" x14ac:dyDescent="0.3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</row>
    <row r="296" spans="1:21" x14ac:dyDescent="0.3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</row>
    <row r="297" spans="1:21" x14ac:dyDescent="0.3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</row>
    <row r="298" spans="1:21" x14ac:dyDescent="0.3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</row>
    <row r="299" spans="1:21" x14ac:dyDescent="0.3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</row>
    <row r="300" spans="1:21" x14ac:dyDescent="0.3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</row>
    <row r="301" spans="1:21" x14ac:dyDescent="0.3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</row>
    <row r="302" spans="1:21" x14ac:dyDescent="0.3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</row>
    <row r="303" spans="1:21" x14ac:dyDescent="0.3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</row>
    <row r="304" spans="1:21" x14ac:dyDescent="0.3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</row>
    <row r="305" spans="1:21" x14ac:dyDescent="0.3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</row>
    <row r="306" spans="1:21" x14ac:dyDescent="0.3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</row>
    <row r="307" spans="1:21" x14ac:dyDescent="0.3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</row>
    <row r="308" spans="1:21" x14ac:dyDescent="0.3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</row>
    <row r="309" spans="1:21" x14ac:dyDescent="0.3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</row>
    <row r="310" spans="1:21" x14ac:dyDescent="0.3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</row>
    <row r="311" spans="1:21" x14ac:dyDescent="0.3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</row>
    <row r="312" spans="1:21" x14ac:dyDescent="0.3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</row>
    <row r="313" spans="1:21" x14ac:dyDescent="0.3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</row>
    <row r="314" spans="1:21" x14ac:dyDescent="0.3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</row>
    <row r="315" spans="1:21" x14ac:dyDescent="0.3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</row>
    <row r="316" spans="1:21" x14ac:dyDescent="0.3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</row>
    <row r="317" spans="1:21" x14ac:dyDescent="0.3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</row>
    <row r="318" spans="1:21" x14ac:dyDescent="0.3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</row>
    <row r="319" spans="1:21" x14ac:dyDescent="0.3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</row>
    <row r="320" spans="1:21" x14ac:dyDescent="0.3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</row>
    <row r="321" spans="1:21" x14ac:dyDescent="0.3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</row>
    <row r="322" spans="1:21" x14ac:dyDescent="0.3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</row>
    <row r="323" spans="1:21" x14ac:dyDescent="0.3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</row>
    <row r="324" spans="1:21" x14ac:dyDescent="0.3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</row>
    <row r="325" spans="1:21" x14ac:dyDescent="0.3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</row>
    <row r="326" spans="1:21" x14ac:dyDescent="0.3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</row>
    <row r="327" spans="1:21" x14ac:dyDescent="0.3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</row>
    <row r="328" spans="1:21" x14ac:dyDescent="0.3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</row>
    <row r="329" spans="1:21" x14ac:dyDescent="0.3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</row>
    <row r="330" spans="1:21" x14ac:dyDescent="0.3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</row>
    <row r="331" spans="1:21" x14ac:dyDescent="0.3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</row>
    <row r="332" spans="1:21" x14ac:dyDescent="0.3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</row>
    <row r="333" spans="1:21" x14ac:dyDescent="0.3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</row>
    <row r="334" spans="1:21" x14ac:dyDescent="0.3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</row>
    <row r="335" spans="1:21" x14ac:dyDescent="0.3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</row>
    <row r="336" spans="1:21" x14ac:dyDescent="0.3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</row>
    <row r="337" spans="1:21" x14ac:dyDescent="0.3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</row>
    <row r="338" spans="1:21" x14ac:dyDescent="0.3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</row>
    <row r="339" spans="1:21" x14ac:dyDescent="0.3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</row>
    <row r="340" spans="1:21" x14ac:dyDescent="0.3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</row>
    <row r="341" spans="1:21" x14ac:dyDescent="0.3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</row>
    <row r="342" spans="1:21" x14ac:dyDescent="0.3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</row>
    <row r="343" spans="1:21" x14ac:dyDescent="0.3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</row>
    <row r="344" spans="1:21" x14ac:dyDescent="0.3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</row>
    <row r="345" spans="1:21" x14ac:dyDescent="0.3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</row>
    <row r="346" spans="1:21" x14ac:dyDescent="0.3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</row>
    <row r="347" spans="1:21" x14ac:dyDescent="0.3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</row>
    <row r="348" spans="1:21" x14ac:dyDescent="0.3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</row>
    <row r="349" spans="1:21" x14ac:dyDescent="0.3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</row>
    <row r="350" spans="1:21" x14ac:dyDescent="0.3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</row>
    <row r="351" spans="1:21" x14ac:dyDescent="0.3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</row>
    <row r="352" spans="1:21" x14ac:dyDescent="0.3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</row>
    <row r="353" spans="1:21" x14ac:dyDescent="0.3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</row>
    <row r="354" spans="1:21" x14ac:dyDescent="0.3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</row>
    <row r="355" spans="1:21" x14ac:dyDescent="0.3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</row>
    <row r="356" spans="1:21" x14ac:dyDescent="0.3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</row>
    <row r="357" spans="1:21" x14ac:dyDescent="0.3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</row>
    <row r="358" spans="1:21" x14ac:dyDescent="0.3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</row>
    <row r="359" spans="1:21" x14ac:dyDescent="0.3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</row>
    <row r="360" spans="1:21" x14ac:dyDescent="0.3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</row>
    <row r="361" spans="1:21" x14ac:dyDescent="0.3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</row>
    <row r="362" spans="1:21" x14ac:dyDescent="0.3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</row>
    <row r="363" spans="1:21" x14ac:dyDescent="0.3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</row>
    <row r="364" spans="1:21" x14ac:dyDescent="0.3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</row>
    <row r="365" spans="1:21" x14ac:dyDescent="0.3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</row>
    <row r="366" spans="1:21" x14ac:dyDescent="0.3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</row>
    <row r="367" spans="1:21" x14ac:dyDescent="0.3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</row>
    <row r="368" spans="1:21" x14ac:dyDescent="0.3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</row>
    <row r="369" spans="1:21" x14ac:dyDescent="0.3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</row>
    <row r="370" spans="1:21" x14ac:dyDescent="0.3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</row>
    <row r="371" spans="1:21" x14ac:dyDescent="0.3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</row>
    <row r="372" spans="1:21" x14ac:dyDescent="0.3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</row>
    <row r="373" spans="1:21" x14ac:dyDescent="0.3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</row>
    <row r="374" spans="1:21" x14ac:dyDescent="0.3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</row>
    <row r="375" spans="1:21" x14ac:dyDescent="0.3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</row>
    <row r="376" spans="1:21" x14ac:dyDescent="0.3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</row>
    <row r="377" spans="1:21" x14ac:dyDescent="0.3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</row>
    <row r="378" spans="1:21" x14ac:dyDescent="0.3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</row>
    <row r="379" spans="1:21" x14ac:dyDescent="0.3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</row>
    <row r="380" spans="1:21" x14ac:dyDescent="0.3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</row>
    <row r="381" spans="1:21" x14ac:dyDescent="0.3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</row>
    <row r="382" spans="1:21" x14ac:dyDescent="0.3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</row>
    <row r="383" spans="1:21" x14ac:dyDescent="0.3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</row>
    <row r="384" spans="1:21" x14ac:dyDescent="0.3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</row>
    <row r="385" spans="1:21" x14ac:dyDescent="0.3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</row>
    <row r="386" spans="1:21" x14ac:dyDescent="0.3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</row>
    <row r="387" spans="1:21" x14ac:dyDescent="0.3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</row>
    <row r="388" spans="1:21" x14ac:dyDescent="0.3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</row>
    <row r="389" spans="1:21" x14ac:dyDescent="0.3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</row>
    <row r="390" spans="1:21" x14ac:dyDescent="0.3">
      <c r="A390" s="90"/>
      <c r="B390" s="90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</row>
    <row r="391" spans="1:21" x14ac:dyDescent="0.3">
      <c r="A391" s="90"/>
      <c r="B391" s="90"/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</row>
    <row r="392" spans="1:21" x14ac:dyDescent="0.3">
      <c r="A392" s="90"/>
      <c r="B392" s="90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</row>
    <row r="393" spans="1:21" x14ac:dyDescent="0.3">
      <c r="A393" s="90"/>
      <c r="B393" s="90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</row>
    <row r="394" spans="1:21" x14ac:dyDescent="0.3">
      <c r="A394" s="90"/>
      <c r="B394" s="90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</row>
    <row r="395" spans="1:21" x14ac:dyDescent="0.3">
      <c r="A395" s="90"/>
      <c r="B395" s="90"/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</row>
    <row r="396" spans="1:21" x14ac:dyDescent="0.3">
      <c r="A396" s="90"/>
      <c r="B396" s="90"/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</row>
    <row r="397" spans="1:21" x14ac:dyDescent="0.3">
      <c r="A397" s="90"/>
      <c r="B397" s="90"/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</row>
    <row r="398" spans="1:21" x14ac:dyDescent="0.3">
      <c r="A398" s="90"/>
      <c r="B398" s="90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</row>
    <row r="399" spans="1:21" x14ac:dyDescent="0.3">
      <c r="A399" s="90"/>
      <c r="B399" s="90"/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</row>
    <row r="400" spans="1:21" x14ac:dyDescent="0.3">
      <c r="A400" s="90"/>
      <c r="B400" s="90"/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</row>
    <row r="401" spans="1:21" x14ac:dyDescent="0.3">
      <c r="A401" s="90"/>
      <c r="B401" s="90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</row>
    <row r="402" spans="1:21" x14ac:dyDescent="0.3">
      <c r="A402" s="90"/>
      <c r="B402" s="90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</row>
    <row r="403" spans="1:21" x14ac:dyDescent="0.3">
      <c r="A403" s="90"/>
      <c r="B403" s="90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</row>
    <row r="404" spans="1:21" x14ac:dyDescent="0.3">
      <c r="A404" s="90"/>
      <c r="B404" s="90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</row>
    <row r="405" spans="1:21" x14ac:dyDescent="0.3">
      <c r="A405" s="90"/>
      <c r="B405" s="90"/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</row>
    <row r="406" spans="1:21" x14ac:dyDescent="0.3">
      <c r="A406" s="90"/>
      <c r="B406" s="90"/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</row>
    <row r="407" spans="1:21" x14ac:dyDescent="0.3">
      <c r="A407" s="90"/>
      <c r="B407" s="90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</row>
    <row r="408" spans="1:21" x14ac:dyDescent="0.3">
      <c r="A408" s="90"/>
      <c r="B408" s="90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</row>
    <row r="409" spans="1:21" x14ac:dyDescent="0.3">
      <c r="A409" s="90"/>
      <c r="B409" s="90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</row>
    <row r="410" spans="1:21" x14ac:dyDescent="0.3">
      <c r="A410" s="90"/>
      <c r="B410" s="90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</row>
    <row r="411" spans="1:21" x14ac:dyDescent="0.3">
      <c r="A411" s="90"/>
      <c r="B411" s="90"/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</row>
    <row r="412" spans="1:21" x14ac:dyDescent="0.3">
      <c r="A412" s="90"/>
      <c r="B412" s="90"/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</row>
    <row r="413" spans="1:21" x14ac:dyDescent="0.3">
      <c r="A413" s="90"/>
      <c r="B413" s="90"/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</row>
    <row r="414" spans="1:21" x14ac:dyDescent="0.3">
      <c r="A414" s="90"/>
      <c r="B414" s="90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</row>
    <row r="415" spans="1:21" x14ac:dyDescent="0.3">
      <c r="A415" s="90"/>
      <c r="B415" s="90"/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</row>
    <row r="416" spans="1:21" x14ac:dyDescent="0.3">
      <c r="A416" s="90"/>
      <c r="B416" s="90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</row>
    <row r="417" spans="1:21" x14ac:dyDescent="0.3">
      <c r="A417" s="90"/>
      <c r="B417" s="90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</row>
    <row r="418" spans="1:21" x14ac:dyDescent="0.3">
      <c r="A418" s="90"/>
      <c r="B418" s="90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</row>
    <row r="419" spans="1:21" x14ac:dyDescent="0.3">
      <c r="A419" s="90"/>
      <c r="B419" s="90"/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</row>
    <row r="420" spans="1:21" x14ac:dyDescent="0.3">
      <c r="A420" s="90"/>
      <c r="B420" s="90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</row>
    <row r="421" spans="1:21" x14ac:dyDescent="0.3">
      <c r="A421" s="90"/>
      <c r="B421" s="90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</row>
    <row r="422" spans="1:21" x14ac:dyDescent="0.3">
      <c r="A422" s="90"/>
      <c r="B422" s="90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</row>
    <row r="423" spans="1:21" x14ac:dyDescent="0.3">
      <c r="A423" s="90"/>
      <c r="B423" s="90"/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</row>
    <row r="424" spans="1:21" x14ac:dyDescent="0.3">
      <c r="A424" s="90"/>
      <c r="B424" s="90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</row>
    <row r="425" spans="1:21" x14ac:dyDescent="0.3">
      <c r="A425" s="90"/>
      <c r="B425" s="90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</row>
    <row r="426" spans="1:21" x14ac:dyDescent="0.3">
      <c r="A426" s="90"/>
      <c r="B426" s="90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</row>
    <row r="427" spans="1:21" x14ac:dyDescent="0.3">
      <c r="A427" s="90"/>
      <c r="B427" s="90"/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</row>
    <row r="428" spans="1:21" x14ac:dyDescent="0.3">
      <c r="A428" s="90"/>
      <c r="B428" s="90"/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</row>
    <row r="429" spans="1:21" x14ac:dyDescent="0.3">
      <c r="A429" s="90"/>
      <c r="B429" s="90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</row>
    <row r="430" spans="1:21" x14ac:dyDescent="0.3">
      <c r="A430" s="90"/>
      <c r="B430" s="90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</row>
    <row r="431" spans="1:21" x14ac:dyDescent="0.3">
      <c r="A431" s="90"/>
      <c r="B431" s="90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</row>
    <row r="432" spans="1:21" x14ac:dyDescent="0.3">
      <c r="A432" s="90"/>
      <c r="B432" s="90"/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</row>
    <row r="433" spans="1:21" x14ac:dyDescent="0.3">
      <c r="A433" s="90"/>
      <c r="B433" s="90"/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</row>
    <row r="434" spans="1:21" x14ac:dyDescent="0.3">
      <c r="A434" s="90"/>
      <c r="B434" s="90"/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</row>
    <row r="435" spans="1:21" x14ac:dyDescent="0.3">
      <c r="A435" s="90"/>
      <c r="B435" s="90"/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</row>
    <row r="436" spans="1:21" x14ac:dyDescent="0.3">
      <c r="A436" s="90"/>
      <c r="B436" s="90"/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</row>
    <row r="437" spans="1:21" x14ac:dyDescent="0.3">
      <c r="A437" s="90"/>
      <c r="B437" s="90"/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</row>
    <row r="438" spans="1:21" x14ac:dyDescent="0.3">
      <c r="A438" s="90"/>
      <c r="B438" s="90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</row>
    <row r="439" spans="1:21" x14ac:dyDescent="0.3">
      <c r="A439" s="90"/>
      <c r="B439" s="90"/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</row>
    <row r="440" spans="1:21" x14ac:dyDescent="0.3">
      <c r="A440" s="90"/>
      <c r="B440" s="90"/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</row>
    <row r="441" spans="1:21" x14ac:dyDescent="0.3">
      <c r="A441" s="90"/>
      <c r="B441" s="90"/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</row>
    <row r="442" spans="1:21" x14ac:dyDescent="0.3">
      <c r="A442" s="90"/>
      <c r="B442" s="90"/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</row>
    <row r="443" spans="1:21" x14ac:dyDescent="0.3">
      <c r="A443" s="90"/>
      <c r="B443" s="90"/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</row>
    <row r="444" spans="1:21" x14ac:dyDescent="0.3">
      <c r="A444" s="90"/>
      <c r="B444" s="90"/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</row>
    <row r="445" spans="1:21" x14ac:dyDescent="0.3">
      <c r="A445" s="90"/>
      <c r="B445" s="90"/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</row>
    <row r="446" spans="1:21" x14ac:dyDescent="0.3">
      <c r="A446" s="90"/>
      <c r="B446" s="90"/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</row>
    <row r="447" spans="1:21" x14ac:dyDescent="0.3">
      <c r="A447" s="90"/>
      <c r="B447" s="90"/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</row>
    <row r="448" spans="1:21" x14ac:dyDescent="0.3">
      <c r="A448" s="90"/>
      <c r="B448" s="90"/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</row>
    <row r="449" spans="1:21" x14ac:dyDescent="0.3">
      <c r="A449" s="90"/>
      <c r="B449" s="90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</row>
    <row r="450" spans="1:21" x14ac:dyDescent="0.3">
      <c r="A450" s="90"/>
      <c r="B450" s="90"/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</row>
    <row r="451" spans="1:21" x14ac:dyDescent="0.3">
      <c r="A451" s="90"/>
      <c r="B451" s="90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</row>
    <row r="452" spans="1:21" x14ac:dyDescent="0.3">
      <c r="A452" s="90"/>
      <c r="B452" s="90"/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</row>
    <row r="453" spans="1:21" x14ac:dyDescent="0.3">
      <c r="A453" s="90"/>
      <c r="B453" s="90"/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</row>
    <row r="454" spans="1:21" x14ac:dyDescent="0.3">
      <c r="A454" s="90"/>
      <c r="B454" s="90"/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</row>
    <row r="455" spans="1:21" x14ac:dyDescent="0.3">
      <c r="A455" s="90"/>
      <c r="B455" s="90"/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</row>
    <row r="456" spans="1:21" x14ac:dyDescent="0.3">
      <c r="A456" s="90"/>
      <c r="B456" s="90"/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</row>
    <row r="457" spans="1:21" x14ac:dyDescent="0.3">
      <c r="A457" s="90"/>
      <c r="B457" s="90"/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</row>
    <row r="458" spans="1:21" x14ac:dyDescent="0.3">
      <c r="A458" s="90"/>
      <c r="B458" s="90"/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</row>
    <row r="459" spans="1:21" x14ac:dyDescent="0.3">
      <c r="A459" s="90"/>
      <c r="B459" s="90"/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</row>
    <row r="460" spans="1:21" x14ac:dyDescent="0.3">
      <c r="A460" s="90"/>
      <c r="B460" s="90"/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</row>
    <row r="461" spans="1:21" x14ac:dyDescent="0.3">
      <c r="A461" s="90"/>
      <c r="B461" s="90"/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</row>
    <row r="462" spans="1:21" x14ac:dyDescent="0.3">
      <c r="A462" s="90"/>
      <c r="B462" s="90"/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</row>
    <row r="463" spans="1:21" x14ac:dyDescent="0.3">
      <c r="A463" s="90"/>
      <c r="B463" s="90"/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</row>
    <row r="464" spans="1:21" x14ac:dyDescent="0.3">
      <c r="A464" s="90"/>
      <c r="B464" s="90"/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</row>
    <row r="465" spans="1:21" x14ac:dyDescent="0.3">
      <c r="A465" s="90"/>
      <c r="B465" s="90"/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</row>
    <row r="466" spans="1:21" x14ac:dyDescent="0.3">
      <c r="A466" s="90"/>
      <c r="B466" s="90"/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</row>
    <row r="467" spans="1:21" x14ac:dyDescent="0.3">
      <c r="A467" s="90"/>
      <c r="B467" s="90"/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</row>
    <row r="468" spans="1:21" x14ac:dyDescent="0.3">
      <c r="A468" s="90"/>
      <c r="B468" s="90"/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</row>
    <row r="469" spans="1:21" x14ac:dyDescent="0.3">
      <c r="A469" s="90"/>
      <c r="B469" s="90"/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</row>
    <row r="470" spans="1:21" x14ac:dyDescent="0.3">
      <c r="A470" s="90"/>
      <c r="B470" s="90"/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</row>
    <row r="471" spans="1:21" x14ac:dyDescent="0.3">
      <c r="A471" s="90"/>
      <c r="B471" s="90"/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</row>
    <row r="472" spans="1:21" x14ac:dyDescent="0.3">
      <c r="A472" s="90"/>
      <c r="B472" s="90"/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</row>
    <row r="473" spans="1:21" x14ac:dyDescent="0.3">
      <c r="A473" s="90"/>
      <c r="B473" s="90"/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</row>
    <row r="474" spans="1:21" x14ac:dyDescent="0.3">
      <c r="A474" s="90"/>
      <c r="B474" s="90"/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</row>
    <row r="475" spans="1:21" x14ac:dyDescent="0.3">
      <c r="A475" s="90"/>
      <c r="B475" s="90"/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</row>
    <row r="476" spans="1:21" x14ac:dyDescent="0.3">
      <c r="A476" s="90"/>
      <c r="B476" s="90"/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</row>
    <row r="477" spans="1:21" x14ac:dyDescent="0.3">
      <c r="A477" s="90"/>
      <c r="B477" s="90"/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</row>
    <row r="478" spans="1:21" x14ac:dyDescent="0.3">
      <c r="A478" s="90"/>
      <c r="B478" s="90"/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</row>
    <row r="479" spans="1:21" x14ac:dyDescent="0.3">
      <c r="A479" s="90"/>
      <c r="B479" s="90"/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</row>
    <row r="480" spans="1:21" x14ac:dyDescent="0.3">
      <c r="A480" s="90"/>
      <c r="B480" s="90"/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</row>
    <row r="481" spans="1:21" x14ac:dyDescent="0.3">
      <c r="A481" s="90"/>
      <c r="B481" s="90"/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</row>
    <row r="482" spans="1:21" x14ac:dyDescent="0.3">
      <c r="A482" s="90"/>
      <c r="B482" s="90"/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</row>
    <row r="483" spans="1:21" x14ac:dyDescent="0.3">
      <c r="A483" s="90"/>
      <c r="B483" s="90"/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</row>
    <row r="484" spans="1:21" x14ac:dyDescent="0.3">
      <c r="A484" s="90"/>
      <c r="B484" s="90"/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</row>
    <row r="485" spans="1:21" x14ac:dyDescent="0.3">
      <c r="A485" s="90"/>
      <c r="B485" s="90"/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</row>
    <row r="486" spans="1:21" x14ac:dyDescent="0.3">
      <c r="A486" s="90"/>
      <c r="B486" s="90"/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</row>
    <row r="487" spans="1:21" x14ac:dyDescent="0.3">
      <c r="A487" s="90"/>
      <c r="B487" s="90"/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</row>
    <row r="488" spans="1:21" x14ac:dyDescent="0.3">
      <c r="A488" s="90"/>
      <c r="B488" s="90"/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</row>
    <row r="489" spans="1:21" x14ac:dyDescent="0.3">
      <c r="A489" s="90"/>
      <c r="B489" s="90"/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</row>
    <row r="490" spans="1:21" x14ac:dyDescent="0.3">
      <c r="A490" s="90"/>
      <c r="B490" s="90"/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</row>
    <row r="491" spans="1:21" x14ac:dyDescent="0.3">
      <c r="A491" s="90"/>
      <c r="B491" s="90"/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</row>
    <row r="492" spans="1:21" x14ac:dyDescent="0.3">
      <c r="A492" s="90"/>
      <c r="B492" s="90"/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</row>
    <row r="493" spans="1:21" x14ac:dyDescent="0.3">
      <c r="A493" s="90"/>
      <c r="B493" s="90"/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</row>
    <row r="494" spans="1:21" x14ac:dyDescent="0.3">
      <c r="A494" s="90"/>
      <c r="B494" s="90"/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</row>
    <row r="495" spans="1:21" x14ac:dyDescent="0.3">
      <c r="A495" s="90"/>
      <c r="B495" s="90"/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</row>
    <row r="496" spans="1:21" x14ac:dyDescent="0.3">
      <c r="A496" s="90"/>
      <c r="B496" s="90"/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</row>
    <row r="497" spans="1:21" x14ac:dyDescent="0.3">
      <c r="A497" s="90"/>
      <c r="B497" s="90"/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</row>
    <row r="498" spans="1:21" x14ac:dyDescent="0.3">
      <c r="A498" s="90"/>
      <c r="B498" s="90"/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</row>
    <row r="499" spans="1:21" x14ac:dyDescent="0.3">
      <c r="A499" s="90"/>
      <c r="B499" s="90"/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</row>
    <row r="500" spans="1:21" x14ac:dyDescent="0.3">
      <c r="A500" s="90"/>
      <c r="B500" s="90"/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</row>
    <row r="501" spans="1:21" x14ac:dyDescent="0.3">
      <c r="A501" s="90"/>
      <c r="B501" s="90"/>
      <c r="C501" s="90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</row>
    <row r="502" spans="1:21" x14ac:dyDescent="0.3">
      <c r="A502" s="90"/>
      <c r="B502" s="90"/>
      <c r="C502" s="90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</row>
    <row r="503" spans="1:21" x14ac:dyDescent="0.3">
      <c r="A503" s="90"/>
      <c r="B503" s="90"/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</row>
    <row r="504" spans="1:21" x14ac:dyDescent="0.3">
      <c r="A504" s="90"/>
      <c r="B504" s="90"/>
      <c r="C504" s="90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</row>
    <row r="505" spans="1:21" x14ac:dyDescent="0.3">
      <c r="A505" s="90"/>
      <c r="B505" s="90"/>
      <c r="C505" s="90"/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</row>
    <row r="506" spans="1:21" x14ac:dyDescent="0.3">
      <c r="A506" s="90"/>
      <c r="B506" s="90"/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</row>
    <row r="507" spans="1:21" x14ac:dyDescent="0.3">
      <c r="A507" s="90"/>
      <c r="B507" s="90"/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</row>
    <row r="508" spans="1:21" x14ac:dyDescent="0.3">
      <c r="A508" s="90"/>
      <c r="B508" s="90"/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</row>
    <row r="509" spans="1:21" x14ac:dyDescent="0.3">
      <c r="A509" s="90"/>
      <c r="B509" s="90"/>
      <c r="C509" s="90"/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</row>
    <row r="510" spans="1:21" x14ac:dyDescent="0.3">
      <c r="A510" s="90"/>
      <c r="B510" s="90"/>
      <c r="C510" s="90"/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</row>
    <row r="511" spans="1:21" x14ac:dyDescent="0.3">
      <c r="A511" s="90"/>
      <c r="B511" s="90"/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</row>
    <row r="512" spans="1:21" x14ac:dyDescent="0.3">
      <c r="A512" s="90"/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</row>
    <row r="513" spans="1:21" x14ac:dyDescent="0.3">
      <c r="A513" s="90"/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</row>
    <row r="514" spans="1:21" x14ac:dyDescent="0.3">
      <c r="A514" s="90"/>
      <c r="B514" s="90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</row>
    <row r="515" spans="1:21" x14ac:dyDescent="0.3">
      <c r="A515" s="90"/>
      <c r="B515" s="90"/>
      <c r="C515" s="90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</row>
    <row r="516" spans="1:21" x14ac:dyDescent="0.3">
      <c r="A516" s="90"/>
      <c r="B516" s="90"/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</row>
    <row r="517" spans="1:21" x14ac:dyDescent="0.3">
      <c r="A517" s="90"/>
      <c r="B517" s="90"/>
      <c r="C517" s="90"/>
      <c r="D517" s="90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</row>
    <row r="518" spans="1:21" x14ac:dyDescent="0.3">
      <c r="A518" s="90"/>
      <c r="B518" s="90"/>
      <c r="C518" s="90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</row>
    <row r="519" spans="1:21" x14ac:dyDescent="0.3">
      <c r="A519" s="90"/>
      <c r="B519" s="90"/>
      <c r="C519" s="90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</row>
    <row r="520" spans="1:21" x14ac:dyDescent="0.3">
      <c r="A520" s="90"/>
      <c r="B520" s="90"/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</row>
    <row r="521" spans="1:21" x14ac:dyDescent="0.3">
      <c r="A521" s="90"/>
      <c r="B521" s="90"/>
      <c r="C521" s="90"/>
      <c r="D521" s="90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</row>
    <row r="522" spans="1:21" x14ac:dyDescent="0.3">
      <c r="A522" s="90"/>
      <c r="B522" s="90"/>
      <c r="C522" s="90"/>
      <c r="D522" s="90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</row>
    <row r="523" spans="1:21" x14ac:dyDescent="0.3">
      <c r="A523" s="90"/>
      <c r="B523" s="90"/>
      <c r="C523" s="90"/>
      <c r="D523" s="90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</row>
  </sheetData>
  <sheetProtection algorithmName="SHA-512" hashValue="pwdXt29OBPf3PTNfW5g/sCOOtkHWaCFcNO/1yWhnxGhCTOFDl4yutyaZg83jA4von8VQb88P+IHkSclcmBbyAg==" saltValue="5IpVLN6DA4wy9+eueVQ4OA==" spinCount="100000" sheet="1" objects="1" scenarios="1"/>
  <mergeCells count="3">
    <mergeCell ref="G1:L1"/>
    <mergeCell ref="K31:L31"/>
    <mergeCell ref="D2:F2"/>
  </mergeCells>
  <dataValidations count="5">
    <dataValidation operator="greaterThan" allowBlank="1" showInputMessage="1" showErrorMessage="1" sqref="B14" xr:uid="{00000000-0002-0000-0100-000000000000}"/>
    <dataValidation operator="greaterThanOrEqual" allowBlank="1" showInputMessage="1" showErrorMessage="1" sqref="J8" xr:uid="{00000000-0002-0000-0100-000001000000}"/>
    <dataValidation type="whole" operator="greaterThanOrEqual" allowBlank="1" showInputMessage="1" showErrorMessage="1" sqref="L25" xr:uid="{00000000-0002-0000-0100-000002000000}">
      <formula1>50</formula1>
    </dataValidation>
    <dataValidation type="decimal" allowBlank="1" showInputMessage="1" showErrorMessage="1" sqref="G30:G31" xr:uid="{00000000-0002-0000-0100-000003000000}">
      <formula1>0.1</formula1>
      <formula2>10</formula2>
    </dataValidation>
    <dataValidation type="decimal" operator="greaterThan" allowBlank="1" showInputMessage="1" showErrorMessage="1" sqref="L24" xr:uid="{00000000-0002-0000-0100-000004000000}">
      <formula1>0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O49"/>
  <sheetViews>
    <sheetView workbookViewId="0">
      <selection activeCell="L33" sqref="L33"/>
    </sheetView>
  </sheetViews>
  <sheetFormatPr baseColWidth="10" defaultRowHeight="14.4" x14ac:dyDescent="0.3"/>
  <cols>
    <col min="1" max="1" width="3.77734375" style="1" customWidth="1"/>
    <col min="2" max="2" width="8.109375" style="1" customWidth="1"/>
    <col min="3" max="3" width="9.44140625" style="1" customWidth="1"/>
    <col min="4" max="4" width="8.109375" style="1" customWidth="1"/>
    <col min="5" max="5" width="8.44140625" style="1" customWidth="1"/>
    <col min="6" max="6" width="7.77734375" style="1" customWidth="1"/>
    <col min="7" max="7" width="9.77734375" style="1" customWidth="1"/>
    <col min="8" max="8" width="6.109375" style="1" customWidth="1"/>
    <col min="9" max="9" width="7.44140625" style="1" customWidth="1"/>
    <col min="10" max="10" width="8.33203125" style="1" customWidth="1"/>
    <col min="11" max="11" width="31.109375" style="1" customWidth="1"/>
    <col min="12" max="12" width="10" style="1" customWidth="1"/>
    <col min="13" max="13" width="7.77734375" style="1" customWidth="1"/>
    <col min="14" max="16" width="11.5546875" style="1"/>
    <col min="17" max="17" width="23.33203125" style="1" customWidth="1"/>
    <col min="18" max="16384" width="11.5546875" style="1"/>
  </cols>
  <sheetData>
    <row r="1" spans="1:14" ht="18" x14ac:dyDescent="0.35">
      <c r="A1" s="10"/>
      <c r="B1" s="108" t="s">
        <v>57</v>
      </c>
      <c r="C1" s="109"/>
      <c r="D1" s="109"/>
      <c r="E1" s="109"/>
      <c r="F1" s="109"/>
      <c r="G1" s="284" t="s">
        <v>82</v>
      </c>
      <c r="H1" s="285"/>
      <c r="I1" s="285"/>
      <c r="J1" s="285"/>
      <c r="K1" s="285"/>
      <c r="L1" s="286"/>
      <c r="M1" s="100"/>
      <c r="N1" s="3"/>
    </row>
    <row r="2" spans="1:14" x14ac:dyDescent="0.3">
      <c r="A2" s="14"/>
      <c r="B2" s="15" t="s">
        <v>50</v>
      </c>
      <c r="C2" s="15"/>
      <c r="D2" s="274">
        <f>'&lt;BESCHREIBUNG&gt;EINZELSERIEN'!$D$2</f>
        <v>125487</v>
      </c>
      <c r="E2" s="287"/>
      <c r="F2" s="288"/>
      <c r="G2" s="110"/>
      <c r="H2" s="76"/>
      <c r="I2" s="76"/>
      <c r="J2" s="76"/>
      <c r="K2" s="76"/>
      <c r="L2" s="91"/>
      <c r="M2" s="100"/>
      <c r="N2" s="3"/>
    </row>
    <row r="3" spans="1:14" x14ac:dyDescent="0.3">
      <c r="A3" s="21" t="s">
        <v>110</v>
      </c>
      <c r="B3" s="111" t="s">
        <v>48</v>
      </c>
      <c r="C3" s="112" t="s">
        <v>58</v>
      </c>
      <c r="D3" s="113" t="s">
        <v>59</v>
      </c>
      <c r="E3" s="114" t="s">
        <v>55</v>
      </c>
      <c r="F3" s="115" t="s">
        <v>61</v>
      </c>
      <c r="G3" s="110"/>
      <c r="H3" s="76"/>
      <c r="I3" s="76"/>
      <c r="J3" s="76"/>
      <c r="K3" s="116" t="s">
        <v>20</v>
      </c>
      <c r="L3" s="117" t="s">
        <v>151</v>
      </c>
      <c r="M3" s="100"/>
      <c r="N3" s="3"/>
    </row>
    <row r="4" spans="1:14" x14ac:dyDescent="0.3">
      <c r="A4" s="19">
        <f>'&lt;KLEIN - STICHPROBEN&gt;'!$B$46</f>
        <v>11</v>
      </c>
      <c r="B4" s="16">
        <f>'&lt;KLEIN - STICHPROBEN&gt;'!$B$44</f>
        <v>2.0418181816325616</v>
      </c>
      <c r="C4" s="20">
        <f>ROUND(('&lt;KLEIN - STICHPROBEN&gt;'!$B$45/(C31*K4))*100,1)</f>
        <v>63.6</v>
      </c>
      <c r="D4" s="118">
        <f>ROUND(('&lt;KLEIN - STICHPROBEN&gt;'!$B$47-(L25-((E30*L26)/L27^0.5)))/(C31*L4)*100,1)</f>
        <v>11.5</v>
      </c>
      <c r="E4" s="46">
        <f>(D4+F4)*0.5</f>
        <v>1.6500000000000004</v>
      </c>
      <c r="F4" s="119">
        <f>ROUND(('&lt;KLEIN - STICHPROBEN&gt;'!$B$47-(L25+((E30*L26)/L27^0.5)))/(C31*L4)*100,1)</f>
        <v>-8.1999999999999993</v>
      </c>
      <c r="G4" s="95"/>
      <c r="H4" s="76"/>
      <c r="I4" s="76"/>
      <c r="J4" s="76"/>
      <c r="K4" s="76">
        <f t="shared" ref="K4:K21" si="0">((2.71828184^(1*(LN(97.7312)-0.505825*2.71828184^(-0.197201*(A4))))))*10^-2</f>
        <v>0.92242538286613585</v>
      </c>
      <c r="L4" s="97">
        <f t="shared" ref="L4:L21" si="1">((2.71828184^(1*(LN(10.3795)-1.470455*2.71828184^(-0.109081*(A4))))))^-1</f>
        <v>0.15003421595432018</v>
      </c>
      <c r="M4" s="101"/>
      <c r="N4" s="3"/>
    </row>
    <row r="5" spans="1:14" x14ac:dyDescent="0.3">
      <c r="A5" s="21">
        <f>'&lt;KLEIN - STICHPROBEN&gt;'!$C$46</f>
        <v>24</v>
      </c>
      <c r="B5" s="21">
        <f>'&lt;KLEIN - STICHPROBEN&gt;'!$C$44</f>
        <v>2.0095833332496005</v>
      </c>
      <c r="C5" s="22">
        <f>ROUND(('&lt;KLEIN - STICHPROBEN&gt;'!$C$45/(C31*K5))*100,1)</f>
        <v>60.3</v>
      </c>
      <c r="D5" s="120">
        <f>ROUND(('&lt;KLEIN - STICHPROBEN&gt;'!$C$47-(L25-((E30*L26)/L27^0.5)))/(C31*L5)*100,1)</f>
        <v>-10.6</v>
      </c>
      <c r="E5" s="49">
        <f t="shared" ref="E5:E21" si="2">(D5+F5)*0.5</f>
        <v>-24.400000000000002</v>
      </c>
      <c r="F5" s="121">
        <f>ROUND(('&lt;KLEIN - STICHPROBEN&gt;'!$C$47-(L25+((E30*L26)/L27^0.5)))/(C31*L5)*100,1)</f>
        <v>-38.200000000000003</v>
      </c>
      <c r="G5" s="76"/>
      <c r="H5" s="76"/>
      <c r="I5" s="76"/>
      <c r="J5" s="76"/>
      <c r="K5" s="76">
        <f t="shared" si="0"/>
        <v>0.97297063920165261</v>
      </c>
      <c r="L5" s="97">
        <f t="shared" si="1"/>
        <v>0.10725361065506278</v>
      </c>
      <c r="M5" s="101"/>
      <c r="N5" s="3"/>
    </row>
    <row r="6" spans="1:14" x14ac:dyDescent="0.3">
      <c r="A6" s="21">
        <f>'&lt;KLEIN - STICHPROBEN&gt;'!$D$46</f>
        <v>39</v>
      </c>
      <c r="B6" s="21">
        <f>'&lt;KLEIN - STICHPROBEN&gt;'!$D$44</f>
        <v>2.0694871794341165</v>
      </c>
      <c r="C6" s="22">
        <f>ROUND(('&lt;KLEIN - STICHPROBEN&gt;'!$D$45/(C31*K6))*100,1)</f>
        <v>75.5</v>
      </c>
      <c r="D6" s="120">
        <f>ROUND(('&lt;KLEIN - STICHPROBEN&gt;'!$D$47-(L25-((E30*L26)/L27^0.5)))/(C31*L6)*100,1)</f>
        <v>42.6</v>
      </c>
      <c r="E6" s="49">
        <f t="shared" si="2"/>
        <v>27.55</v>
      </c>
      <c r="F6" s="121">
        <f>ROUND(('&lt;KLEIN - STICHPROBEN&gt;'!$D$47-(L25+((E30*L26)/L27^0.5)))/(C31*L6)*100,1)</f>
        <v>12.5</v>
      </c>
      <c r="G6" s="76"/>
      <c r="H6" s="76"/>
      <c r="I6" s="76"/>
      <c r="J6" s="76"/>
      <c r="K6" s="76">
        <f t="shared" si="0"/>
        <v>0.97708613037668446</v>
      </c>
      <c r="L6" s="97">
        <f t="shared" si="1"/>
        <v>9.8377333045818874E-2</v>
      </c>
      <c r="M6" s="101"/>
      <c r="N6" s="3"/>
    </row>
    <row r="7" spans="1:14" x14ac:dyDescent="0.3">
      <c r="A7" s="21">
        <f>'&lt;KLEIN - STICHPROBEN&gt;'!$E$46</f>
        <v>52</v>
      </c>
      <c r="B7" s="21">
        <f>'&lt;KLEIN - STICHPROBEN&gt;'!$E$44</f>
        <v>2.0509615384220976</v>
      </c>
      <c r="C7" s="22">
        <f>ROUND(('&lt;KLEIN - STICHPROBEN&gt;'!$E$45/(C31*K7))*100,1)</f>
        <v>75.5</v>
      </c>
      <c r="D7" s="120">
        <f>ROUND(('&lt;KLEIN - STICHPROBEN&gt;'!$E$47-(L25-((E30*L26)/L27^0.5)))/(C31*L7)*100,1)</f>
        <v>26.3</v>
      </c>
      <c r="E7" s="49">
        <f t="shared" si="2"/>
        <v>11</v>
      </c>
      <c r="F7" s="121">
        <f>ROUND(('&lt;KLEIN - STICHPROBEN&gt;'!$E$47-(L25+((E30*L26)/L27^0.5)))/(C31*L7)*100,1)</f>
        <v>-4.3</v>
      </c>
      <c r="G7" s="76"/>
      <c r="H7" s="76"/>
      <c r="I7" s="76"/>
      <c r="J7" s="76"/>
      <c r="K7" s="76">
        <f t="shared" si="0"/>
        <v>0.97729461787217919</v>
      </c>
      <c r="L7" s="97">
        <f t="shared" si="1"/>
        <v>9.683236527065904E-2</v>
      </c>
      <c r="M7" s="101"/>
      <c r="N7" s="3"/>
    </row>
    <row r="8" spans="1:14" x14ac:dyDescent="0.3">
      <c r="A8" s="21">
        <f>'&lt;KLEIN - STICHPROBEN&gt;'!$F$46</f>
        <v>62</v>
      </c>
      <c r="B8" s="21">
        <f>'&lt;KLEIN - STICHPROBEN&gt;'!$F$44</f>
        <v>2.0575806451281036</v>
      </c>
      <c r="C8" s="22">
        <f>ROUND(('&lt;KLEIN - STICHPROBEN&gt;'!$F$45/(C31*K8))*100,1)</f>
        <v>75.5</v>
      </c>
      <c r="D8" s="120">
        <f>ROUND(('&lt;KLEIN - STICHPROBEN&gt;'!$F$47-(L25-((E30*L26)/L27^0.5)))/(C31*L8)*100,1)</f>
        <v>32.4</v>
      </c>
      <c r="E8" s="49">
        <f t="shared" si="2"/>
        <v>17.099999999999998</v>
      </c>
      <c r="F8" s="121">
        <f>ROUND(('&lt;KLEIN - STICHPROBEN&gt;'!$F$47-(L25+((E30*L26)/L27^0.5)))/(C31*L8)*100,1)</f>
        <v>1.8</v>
      </c>
      <c r="G8" s="122"/>
      <c r="H8" s="76"/>
      <c r="I8" s="76"/>
      <c r="J8" s="76"/>
      <c r="K8" s="76">
        <f t="shared" si="0"/>
        <v>0.97730959715907306</v>
      </c>
      <c r="L8" s="97">
        <f t="shared" si="1"/>
        <v>9.6507624232265762E-2</v>
      </c>
      <c r="M8" s="101"/>
      <c r="N8" s="3"/>
    </row>
    <row r="9" spans="1:14" x14ac:dyDescent="0.3">
      <c r="A9" s="21">
        <f>'&lt;KLEIN - STICHPROBEN&gt;'!$G$46</f>
        <v>74</v>
      </c>
      <c r="B9" s="21">
        <f>'&lt;KLEIN - STICHPROBEN&gt;'!$G$44</f>
        <v>2.0699999999720271</v>
      </c>
      <c r="C9" s="22">
        <f>ROUND(('&lt;KLEIN - STICHPROBEN&gt;'!$G$45/(C31*K9))*100,1)</f>
        <v>75.5</v>
      </c>
      <c r="D9" s="120">
        <f>ROUND(('&lt;KLEIN - STICHPROBEN&gt;'!$G$47-(L25-((E30*L26)/L27^0.5)))/(C31*L9)*100,1)</f>
        <v>43.9</v>
      </c>
      <c r="E9" s="49">
        <f t="shared" si="2"/>
        <v>28.549999999999997</v>
      </c>
      <c r="F9" s="121">
        <f>ROUND(('&lt;KLEIN - STICHPROBEN&gt;'!$G$47-(L25+((E30*L26)/L27^0.5)))/(C31*L9)*100,1)</f>
        <v>13.2</v>
      </c>
      <c r="G9" s="76"/>
      <c r="H9" s="76"/>
      <c r="I9" s="76"/>
      <c r="J9" s="76"/>
      <c r="K9" s="76">
        <f t="shared" si="0"/>
        <v>0.97731179180254535</v>
      </c>
      <c r="L9" s="97">
        <f t="shared" si="1"/>
        <v>9.6387987182193338E-2</v>
      </c>
      <c r="M9" s="101"/>
      <c r="N9" s="3"/>
    </row>
    <row r="10" spans="1:14" x14ac:dyDescent="0.3">
      <c r="A10" s="21">
        <f>'&lt;KLEIN - STICHPROBEN&gt;'!$H$46</f>
        <v>91</v>
      </c>
      <c r="B10" s="23">
        <f>'&lt;KLEIN - STICHPROBEN&gt;'!$H$44</f>
        <v>2.0658241758014748</v>
      </c>
      <c r="C10" s="24">
        <f>ROUND(('&lt;KLEIN - STICHPROBEN&gt;'!$H$45/(C31*K10))*100,1)</f>
        <v>75.5</v>
      </c>
      <c r="D10" s="123">
        <f>ROUND(('&lt;KLEIN - STICHPROBEN&gt;'!$H$47-(L25-((E30*L26)/L27^0.5)))/(C31*L10)*100,1)</f>
        <v>40.1</v>
      </c>
      <c r="E10" s="52">
        <f t="shared" si="2"/>
        <v>24.75</v>
      </c>
      <c r="F10" s="124">
        <f>ROUND(('&lt;KLEIN - STICHPROBEN&gt;'!$H$47-(L25+((E30*L26)/L27^0.5)))/(C31*L10)*100,1)</f>
        <v>9.4</v>
      </c>
      <c r="G10" s="76"/>
      <c r="H10" s="76"/>
      <c r="I10" s="76"/>
      <c r="J10" s="76"/>
      <c r="K10" s="76">
        <f t="shared" si="0"/>
        <v>0.97731201106095811</v>
      </c>
      <c r="L10" s="97">
        <f t="shared" si="1"/>
        <v>9.6350677011851835E-2</v>
      </c>
      <c r="M10" s="101"/>
      <c r="N10" s="3"/>
    </row>
    <row r="11" spans="1:14" x14ac:dyDescent="0.3">
      <c r="A11" s="21">
        <f>'&lt;KLEIN - STICHPROBEN&gt;'!$I$46</f>
        <v>99</v>
      </c>
      <c r="B11" s="21">
        <f>'&lt;KLEIN - STICHPROBEN&gt;'!$H$44</f>
        <v>2.0658241758014748</v>
      </c>
      <c r="C11" s="22">
        <f>ROUND(('&lt;KLEIN - STICHPROBEN&gt;'!$I$45/(C31*K11))*100,1)</f>
        <v>75.5</v>
      </c>
      <c r="D11" s="120">
        <f>ROUND(('&lt;KLEIN - STICHPROBEN&gt;'!$I$47-(L25-((E30*L26)/L27^0.5)))/(C31*L11)*100,1)</f>
        <v>36.700000000000003</v>
      </c>
      <c r="E11" s="49">
        <f t="shared" si="2"/>
        <v>21.35</v>
      </c>
      <c r="F11" s="121">
        <f>ROUND(('&lt;KLEIN - STICHPROBEN&gt;'!$I$47-(L25+((E30*L26)/L27^0.5)))/(C31*L11)*100,1)</f>
        <v>6</v>
      </c>
      <c r="G11" s="76"/>
      <c r="H11" s="76"/>
      <c r="I11" s="76"/>
      <c r="J11" s="76"/>
      <c r="K11" s="76">
        <f t="shared" si="0"/>
        <v>0.97731201737135798</v>
      </c>
      <c r="L11" s="97">
        <f t="shared" si="1"/>
        <v>9.6346646419182058E-2</v>
      </c>
      <c r="M11" s="101"/>
      <c r="N11" s="3"/>
    </row>
    <row r="12" spans="1:14" x14ac:dyDescent="0.3">
      <c r="A12" s="21">
        <f>'&lt;KLEIN - STICHPROBEN&gt;'!$J$46</f>
        <v>122</v>
      </c>
      <c r="B12" s="21">
        <f>'&lt;KLEIN - STICHPROBEN&gt;'!$J$44</f>
        <v>2.052049180311049</v>
      </c>
      <c r="C12" s="22">
        <f>ROUND(('&lt;KLEIN - STICHPROBEN&gt;'!$J45/(C31*K12))*100,1)</f>
        <v>75.5</v>
      </c>
      <c r="D12" s="120">
        <f>ROUND(('&lt;KLEIN - STICHPROBEN&gt;'!$J$47-(L25-((E30*L26)/L27^0.5)))/(C31*L12)*100,1)</f>
        <v>27.4</v>
      </c>
      <c r="E12" s="49">
        <f t="shared" si="2"/>
        <v>12.049999999999999</v>
      </c>
      <c r="F12" s="121">
        <f>ROUND(('&lt;KLEIN - STICHPROBEN&gt;'!$J$47-(L25+((E30*L26)/L27^0.5)))/(C31*L12)*100,1)</f>
        <v>-3.3</v>
      </c>
      <c r="G12" s="76"/>
      <c r="H12" s="76"/>
      <c r="I12" s="76"/>
      <c r="J12" s="76"/>
      <c r="K12" s="76">
        <f t="shared" si="0"/>
        <v>0.97731201899565434</v>
      </c>
      <c r="L12" s="97">
        <f t="shared" si="1"/>
        <v>9.6343988920878684E-2</v>
      </c>
      <c r="M12" s="101"/>
      <c r="N12" s="3"/>
    </row>
    <row r="13" spans="1:14" x14ac:dyDescent="0.3">
      <c r="A13" s="21">
        <f>'&lt;KLEIN - STICHPROBEN&gt;'!$K$46</f>
        <v>135</v>
      </c>
      <c r="B13" s="21">
        <f>'&lt;KLEIN - STICHPROBEN&gt;'!$K$44</f>
        <v>2.0474814814663147</v>
      </c>
      <c r="C13" s="22">
        <f>ROUND(('&lt;KLEIN - STICHPROBEN&gt;'!$K$45/(C31*K13))*100,1)</f>
        <v>117.3</v>
      </c>
      <c r="D13" s="120">
        <f>ROUND(('&lt;KLEIN - STICHPROBEN&gt;'!$K$47-(L25-((E30*L26)/L27^0.5)))/(C31*L13)*100,1)</f>
        <v>23.2</v>
      </c>
      <c r="E13" s="49">
        <f t="shared" si="2"/>
        <v>7.85</v>
      </c>
      <c r="F13" s="121">
        <f>ROUND(('&lt;KLEIN - STICHPROBEN&gt;'!$K$47-(L25+((E30*L26)/L27^0.5)))/(C31*L13)*100,1)</f>
        <v>-7.5</v>
      </c>
      <c r="G13" s="76"/>
      <c r="H13" s="76"/>
      <c r="I13" s="76"/>
      <c r="J13" s="76"/>
      <c r="K13" s="76">
        <f t="shared" si="0"/>
        <v>0.97731201901190035</v>
      </c>
      <c r="L13" s="97">
        <f t="shared" si="1"/>
        <v>9.6343810560098331E-2</v>
      </c>
      <c r="M13" s="101"/>
      <c r="N13" s="3"/>
    </row>
    <row r="14" spans="1:14" x14ac:dyDescent="0.3">
      <c r="A14" s="21">
        <f>'&lt;KLEIN - STICHPROBEN&gt;'!$L$46</f>
        <v>153</v>
      </c>
      <c r="B14" s="21">
        <f>'&lt;KLEIN - STICHPROBEN&gt;'!$L$44</f>
        <v>2.0549673202480054</v>
      </c>
      <c r="C14" s="22">
        <f>ROUND(('&lt;KLEIN - STICHPROBEN&gt;'!$L$45/(C31*K14))*100,1)</f>
        <v>117.3</v>
      </c>
      <c r="D14" s="120">
        <f>ROUND(('&lt;KLEIN - STICHPROBEN&gt;'!$L$47-(L25-((E30*L26)/L27^0.5)))/(C31*L14)*100,1)</f>
        <v>30.1</v>
      </c>
      <c r="E14" s="49">
        <f t="shared" si="2"/>
        <v>14.75</v>
      </c>
      <c r="F14" s="121">
        <f>ROUND(('&lt;KLEIN - STICHPROBEN&gt;'!$L$47-(L25+((E30*L26)/L27^0.5)))/(C31*L14)*100,1)</f>
        <v>-0.6</v>
      </c>
      <c r="G14" s="76"/>
      <c r="H14" s="76"/>
      <c r="I14" s="76"/>
      <c r="J14" s="76"/>
      <c r="K14" s="76">
        <f t="shared" si="0"/>
        <v>0.97731201901321718</v>
      </c>
      <c r="L14" s="97">
        <f t="shared" si="1"/>
        <v>9.6343761560380742E-2</v>
      </c>
      <c r="M14" s="101"/>
      <c r="N14" s="3"/>
    </row>
    <row r="15" spans="1:14" ht="23.4" x14ac:dyDescent="0.45">
      <c r="A15" s="21">
        <f>'&lt;KLEIN - STICHPROBEN&gt;'!$M$46</f>
        <v>170</v>
      </c>
      <c r="B15" s="21">
        <f>'&lt;KLEIN - STICHPROBEN&gt;'!$M$44</f>
        <v>2.0719999999878107</v>
      </c>
      <c r="C15" s="22">
        <f>ROUND(('&lt;KLEIN - STICHPROBEN&gt;'!$M$45/(C31*K15))*100,1)</f>
        <v>123.6</v>
      </c>
      <c r="D15" s="120">
        <f>ROUND(('&lt;KLEIN - STICHPROBEN&gt;'!$M$47-(L25-((E30*L26)/L27^0.5)))/(C31*L15)*100,1)</f>
        <v>45.8</v>
      </c>
      <c r="E15" s="49">
        <f t="shared" si="2"/>
        <v>30.45</v>
      </c>
      <c r="F15" s="121">
        <f>ROUND(('&lt;KLEIN - STICHPROBEN&gt;'!$M$47-(L25+((E30*L26)/L27^0.5)))/(C31*L15)*100,1)</f>
        <v>15.1</v>
      </c>
      <c r="G15" s="76"/>
      <c r="H15" s="98"/>
      <c r="I15" s="98"/>
      <c r="J15" s="125"/>
      <c r="K15" s="76">
        <f t="shared" si="0"/>
        <v>0.97731201901325448</v>
      </c>
      <c r="L15" s="97">
        <f t="shared" si="1"/>
        <v>9.6343754811634139E-2</v>
      </c>
      <c r="M15" s="101"/>
      <c r="N15" s="3"/>
    </row>
    <row r="16" spans="1:14" x14ac:dyDescent="0.3">
      <c r="A16" s="21">
        <f>'&lt;KLEIN - STICHPROBEN&gt;'!$N$46</f>
        <v>178</v>
      </c>
      <c r="B16" s="126">
        <f>'&lt;KLEIN - STICHPROBEN&gt;'!$N$44</f>
        <v>2.0725842696512764</v>
      </c>
      <c r="C16" s="127">
        <f>ROUND(('&lt;KLEIN - STICHPROBEN&gt;'!$N$45/(C31*K16))*100,1)</f>
        <v>123.6</v>
      </c>
      <c r="D16" s="128">
        <f>ROUND(('&lt;KLEIN - STICHPROBEN&gt;'!$N$47-(L25-((E30*L26)/L27^0.5)))/(C31*L16)*100,1)</f>
        <v>46.3</v>
      </c>
      <c r="E16" s="129">
        <f t="shared" si="2"/>
        <v>30.95</v>
      </c>
      <c r="F16" s="130">
        <f>ROUND(('&lt;KLEIN - STICHPROBEN&gt;'!$N$47-(L25+((E30*L26)/L27^0.5)))/(C31*L16)*100,1)</f>
        <v>15.6</v>
      </c>
      <c r="G16" s="76"/>
      <c r="H16" s="76"/>
      <c r="I16" s="76"/>
      <c r="J16" s="76"/>
      <c r="K16" s="76">
        <f t="shared" si="0"/>
        <v>0.97731201901325626</v>
      </c>
      <c r="L16" s="97">
        <f t="shared" si="1"/>
        <v>9.6343754082415231E-2</v>
      </c>
      <c r="M16" s="101"/>
      <c r="N16" s="3"/>
    </row>
    <row r="17" spans="1:15" x14ac:dyDescent="0.3">
      <c r="A17" s="21">
        <f>'&lt;KLEIN - STICHPROBEN&gt;'!$O$46</f>
        <v>187</v>
      </c>
      <c r="B17" s="21">
        <f>'&lt;KLEIN - STICHPROBEN&gt;'!$O$44</f>
        <v>2.0750267379568164</v>
      </c>
      <c r="C17" s="22">
        <f>ROUND(('&lt;KLEIN - STICHPROBEN&gt;'!$O$45/(C31*K17))*100,1)</f>
        <v>123.6</v>
      </c>
      <c r="D17" s="120">
        <f>ROUND(('&lt;KLEIN - STICHPROBEN&gt;'!$O$47-(L25-((E30*L26)/L27^0.5)))/(C31*L17)*100,1)</f>
        <v>48.6</v>
      </c>
      <c r="E17" s="49">
        <f t="shared" si="2"/>
        <v>33.25</v>
      </c>
      <c r="F17" s="121">
        <f>ROUND(('&lt;KLEIN - STICHPROBEN&gt;'!$O$47-(L25+((E30*L26)/L27^0.5)))/(C31*L17)*100,1)</f>
        <v>17.899999999999999</v>
      </c>
      <c r="G17" s="76"/>
      <c r="H17" s="76"/>
      <c r="I17" s="76"/>
      <c r="J17" s="76"/>
      <c r="K17" s="76">
        <f t="shared" si="0"/>
        <v>0.97731201901325626</v>
      </c>
      <c r="L17" s="97">
        <f t="shared" si="1"/>
        <v>9.6343753755114933E-2</v>
      </c>
      <c r="M17" s="101"/>
      <c r="N17" s="3"/>
    </row>
    <row r="18" spans="1:15" x14ac:dyDescent="0.3">
      <c r="A18" s="21">
        <f>'&lt;KLEIN - STICHPROBEN&gt;'!$P$46</f>
        <v>203</v>
      </c>
      <c r="B18" s="21">
        <f>'&lt;KLEIN - STICHPROBEN&gt;'!$P$44</f>
        <v>2.0715270935858539</v>
      </c>
      <c r="C18" s="22">
        <f>ROUND(('&lt;KLEIN - STICHPROBEN&gt;'!$P$45/(C31*K18))*100,1)</f>
        <v>123.6</v>
      </c>
      <c r="D18" s="120">
        <f>ROUND(('&lt;KLEIN - STICHPROBEN&gt;'!$P$47-(L25-((E30*L26)/L27^0.5)))/(C31*L18)*100,1)</f>
        <v>45.4</v>
      </c>
      <c r="E18" s="49">
        <f t="shared" si="2"/>
        <v>30</v>
      </c>
      <c r="F18" s="121">
        <f>ROUND(('&lt;KLEIN - STICHPROBEN&gt;'!$P$47-(L25+((E30*L26)/L27^0.5)))/(C31*L18)*100,1)</f>
        <v>14.6</v>
      </c>
      <c r="G18" s="76"/>
      <c r="H18" s="76"/>
      <c r="I18" s="76"/>
      <c r="J18" s="76"/>
      <c r="K18" s="76">
        <f t="shared" si="0"/>
        <v>0.97731201901325626</v>
      </c>
      <c r="L18" s="97">
        <f t="shared" si="1"/>
        <v>9.6343753593254533E-2</v>
      </c>
      <c r="M18" s="101"/>
      <c r="N18" s="3"/>
    </row>
    <row r="19" spans="1:15" x14ac:dyDescent="0.3">
      <c r="A19" s="21">
        <f>'&lt;KLEIN - STICHPROBEN&gt;'!$Q$46</f>
        <v>207</v>
      </c>
      <c r="B19" s="21">
        <f>'&lt;KLEIN - STICHPROBEN&gt;'!$Q$44</f>
        <v>2.0768599033716084</v>
      </c>
      <c r="C19" s="22">
        <f>ROUND(('&lt;KLEIN - STICHPROBEN&gt;'!$Q$45/(C31*K19))*100,1)</f>
        <v>130.9</v>
      </c>
      <c r="D19" s="120">
        <f>ROUND(('&lt;KLEIN - STICHPROBEN&gt;'!$Q$47-(L25-((E30*L26)/L27^0.5)))/(C31*L19)*100,1)</f>
        <v>50.3</v>
      </c>
      <c r="E19" s="49">
        <f t="shared" si="2"/>
        <v>34.950000000000003</v>
      </c>
      <c r="F19" s="121">
        <f>ROUND(('&lt;KLEIN - STICHPROBEN&gt;'!$Q$47-(L25+((E30*L26)/L27^0.5)))/(C31*L19)*100,1)</f>
        <v>19.600000000000001</v>
      </c>
      <c r="G19" s="76"/>
      <c r="H19" s="76"/>
      <c r="I19" s="76"/>
      <c r="J19" s="76"/>
      <c r="K19" s="76">
        <f t="shared" si="0"/>
        <v>0.97731201901325626</v>
      </c>
      <c r="L19" s="97">
        <f t="shared" si="1"/>
        <v>9.6343753581148495E-2</v>
      </c>
      <c r="M19" s="101"/>
      <c r="N19" s="3"/>
    </row>
    <row r="20" spans="1:15" x14ac:dyDescent="0.3">
      <c r="A20" s="21">
        <f>'&lt;KLEIN - STICHPROBEN&gt;'!$R$46</f>
        <v>225</v>
      </c>
      <c r="B20" s="21">
        <f>'&lt;KLEIN - STICHPROBEN&gt;'!$R$44</f>
        <v>2.0684888888796946</v>
      </c>
      <c r="C20" s="22">
        <f>ROUND(('&lt;KLEIN - STICHPROBEN&gt;'!$R$45/(C31*K20))*100,1)</f>
        <v>130.9</v>
      </c>
      <c r="D20" s="120">
        <f>ROUND(('&lt;KLEIN - STICHPROBEN&gt;'!$R$47-(L25-((E30*L26)/L27^0.5)))/(C31*L20)*100,1)</f>
        <v>42.6</v>
      </c>
      <c r="E20" s="49">
        <f t="shared" si="2"/>
        <v>31.1</v>
      </c>
      <c r="F20" s="121">
        <f>ROUND(('&lt;KLEIN - STICHPROBEN&gt;'!$Q$47-(L25+((E30*L26)/L27^0.5)))/(C31*L20)*100,1)</f>
        <v>19.600000000000001</v>
      </c>
      <c r="G20" s="76"/>
      <c r="H20" s="76"/>
      <c r="I20" s="76"/>
      <c r="J20" s="76"/>
      <c r="K20" s="76">
        <f t="shared" si="0"/>
        <v>0.97731201901325626</v>
      </c>
      <c r="L20" s="97">
        <f t="shared" si="1"/>
        <v>9.6343753562123838E-2</v>
      </c>
      <c r="M20" s="101"/>
      <c r="N20" s="3"/>
    </row>
    <row r="21" spans="1:15" x14ac:dyDescent="0.3">
      <c r="A21" s="21">
        <f>'&lt;KLEIN - STICHPROBEN&gt;'!$S$46</f>
        <v>230</v>
      </c>
      <c r="B21" s="21">
        <f>'&lt;KLEIN - STICHPROBEN&gt;'!$S$44</f>
        <v>2.0646086956431966</v>
      </c>
      <c r="C21" s="22">
        <f>ROUND(('&lt;KLEIN - STICHPROBEN&gt;'!$S$45/(C31*K21))*100,1)</f>
        <v>130.9</v>
      </c>
      <c r="D21" s="120">
        <f>ROUND(('&lt;KLEIN - STICHPROBEN&gt;'!$S$47-(L25-((E30*L26)/L27^0.5)))/(C31*L21)*100,1)</f>
        <v>39</v>
      </c>
      <c r="E21" s="49">
        <f t="shared" si="2"/>
        <v>23.65</v>
      </c>
      <c r="F21" s="121">
        <f>ROUND(('&lt;KLEIN - STICHPROBEN&gt;'!$S$47-(L25+((E30*L26)/L27^0.5)))/(C31*L21)*100,1)</f>
        <v>8.3000000000000007</v>
      </c>
      <c r="G21" s="76"/>
      <c r="H21" s="76"/>
      <c r="I21" s="76"/>
      <c r="J21" s="76"/>
      <c r="K21" s="76">
        <f t="shared" si="0"/>
        <v>0.97731201901325626</v>
      </c>
      <c r="L21" s="97">
        <f t="shared" si="1"/>
        <v>9.6343753560817813E-2</v>
      </c>
      <c r="M21" s="101"/>
      <c r="N21" s="3"/>
    </row>
    <row r="22" spans="1:15" x14ac:dyDescent="0.3">
      <c r="A22" s="131"/>
      <c r="B22" s="28"/>
      <c r="C22" s="29">
        <f>'&lt;BESCHREIBUNG&gt;EINZELSERIEN'!C22</f>
        <v>0</v>
      </c>
      <c r="D22" s="29"/>
      <c r="E22" s="132"/>
      <c r="F22" s="132"/>
      <c r="G22" s="29">
        <f>ROUND('AUSSCHUSS - GANGLINIE'!$G$80,2)</f>
        <v>66.849999999999994</v>
      </c>
      <c r="H22" s="29">
        <f>ROUND('AUSSCHUSS - GANGLINIE'!$G$73,2)</f>
        <v>-66.849999999999994</v>
      </c>
      <c r="I22" s="29"/>
      <c r="J22" s="133"/>
      <c r="K22" s="92"/>
      <c r="L22" s="94"/>
      <c r="M22" s="4"/>
      <c r="N22" s="3"/>
    </row>
    <row r="23" spans="1:15" x14ac:dyDescent="0.3">
      <c r="A23" s="35"/>
      <c r="B23" s="31"/>
      <c r="C23" s="32">
        <f>'&lt;BESCHREIBUNG&gt;EINZELSERIEN'!C23</f>
        <v>200</v>
      </c>
      <c r="D23" s="32"/>
      <c r="E23" s="134"/>
      <c r="F23" s="135"/>
      <c r="G23" s="32">
        <f>ROUND('AUSSCHUSS - GANGLINIE'!$G$80,2)</f>
        <v>66.849999999999994</v>
      </c>
      <c r="H23" s="32">
        <f>ROUND('AUSSCHUSS - GANGLINIE'!$G$73,2)</f>
        <v>-66.849999999999994</v>
      </c>
      <c r="I23" s="32"/>
      <c r="J23" s="136"/>
      <c r="K23" s="76"/>
      <c r="L23" s="97"/>
      <c r="M23" s="4"/>
      <c r="N23" s="3"/>
    </row>
    <row r="24" spans="1:15" x14ac:dyDescent="0.3">
      <c r="A24" s="35"/>
      <c r="B24" s="31"/>
      <c r="C24" s="32">
        <f>$G$22</f>
        <v>66.849999999999994</v>
      </c>
      <c r="D24" s="32"/>
      <c r="E24" s="134"/>
      <c r="F24" s="137"/>
      <c r="G24" s="138"/>
      <c r="H24" s="137"/>
      <c r="I24" s="32">
        <f>'&lt;BESCHREIBUNG&gt;EINZELSERIEN'!I24</f>
        <v>500</v>
      </c>
      <c r="J24" s="134"/>
      <c r="K24" s="139" t="s">
        <v>102</v>
      </c>
      <c r="L24" s="140"/>
      <c r="M24" s="3"/>
      <c r="N24" s="3"/>
    </row>
    <row r="25" spans="1:15" x14ac:dyDescent="0.3">
      <c r="A25" s="35"/>
      <c r="B25" s="31"/>
      <c r="C25" s="32">
        <f>$G$23</f>
        <v>66.849999999999994</v>
      </c>
      <c r="D25" s="32"/>
      <c r="E25" s="134"/>
      <c r="F25" s="134"/>
      <c r="G25" s="138"/>
      <c r="H25" s="138"/>
      <c r="I25" s="32">
        <f>'&lt;BESCHREIBUNG&gt;EINZELSERIEN'!I25</f>
        <v>0</v>
      </c>
      <c r="J25" s="137"/>
      <c r="K25" s="141" t="s">
        <v>9</v>
      </c>
      <c r="L25" s="142">
        <f>'&lt;BESCHREIBUNG&gt;EINZELSERIEN'!$L$23</f>
        <v>2.0390000000000001</v>
      </c>
      <c r="M25" s="100"/>
      <c r="N25" s="3"/>
    </row>
    <row r="26" spans="1:15" x14ac:dyDescent="0.3">
      <c r="A26" s="35"/>
      <c r="B26" s="31"/>
      <c r="C26" s="38">
        <f>$H$22*-1</f>
        <v>66.849999999999994</v>
      </c>
      <c r="D26" s="143"/>
      <c r="E26" s="143"/>
      <c r="F26" s="143"/>
      <c r="G26" s="143"/>
      <c r="H26" s="143"/>
      <c r="I26" s="143"/>
      <c r="J26" s="32">
        <v>-500</v>
      </c>
      <c r="K26" s="141" t="s">
        <v>81</v>
      </c>
      <c r="L26" s="142">
        <f>'&lt;BESCHREIBUNG&gt;EINZELSERIEN'!$L$24</f>
        <v>0.17599999999999999</v>
      </c>
      <c r="M26" s="100"/>
      <c r="N26" s="3"/>
    </row>
    <row r="27" spans="1:15" x14ac:dyDescent="0.3">
      <c r="A27" s="35"/>
      <c r="B27" s="31"/>
      <c r="C27" s="32">
        <f>$H$23*-1</f>
        <v>66.849999999999994</v>
      </c>
      <c r="D27" s="143"/>
      <c r="E27" s="143"/>
      <c r="F27" s="143"/>
      <c r="G27" s="143"/>
      <c r="H27" s="143"/>
      <c r="I27" s="143"/>
      <c r="J27" s="32">
        <v>0</v>
      </c>
      <c r="K27" s="141" t="s">
        <v>8</v>
      </c>
      <c r="L27" s="142">
        <f>'&lt;BESCHREIBUNG&gt;EINZELSERIEN'!$L$25</f>
        <v>448</v>
      </c>
      <c r="M27" s="100"/>
      <c r="N27" s="3"/>
    </row>
    <row r="28" spans="1:15" x14ac:dyDescent="0.3">
      <c r="A28" s="36"/>
      <c r="B28" s="144" t="s">
        <v>15</v>
      </c>
      <c r="C28" s="144">
        <f>((2.71828184^(1*(LN(31.5646)-2.44958*2.71828184^(-0.680752*LN(L27)))))/100)^-1</f>
        <v>3.2920974275312171</v>
      </c>
      <c r="D28" s="144" t="s">
        <v>77</v>
      </c>
      <c r="E28" s="144">
        <f>((2.71828184^(1*(LN(49.9544)-3.359375*2.71828183^(-1.439056*LN(L27)))))/100)^-1</f>
        <v>2.0028547346731704</v>
      </c>
      <c r="F28" s="134"/>
      <c r="G28" s="134"/>
      <c r="H28" s="134"/>
      <c r="I28" s="134"/>
      <c r="J28" s="137"/>
      <c r="K28" s="141" t="s">
        <v>101</v>
      </c>
      <c r="L28" s="145">
        <f>'&lt;BESCHREIBUNG&gt;EINZELSERIEN'!$L$27</f>
        <v>95</v>
      </c>
      <c r="M28" s="100"/>
      <c r="N28" s="3"/>
    </row>
    <row r="29" spans="1:15" x14ac:dyDescent="0.3">
      <c r="A29" s="37"/>
      <c r="B29" s="146" t="s">
        <v>16</v>
      </c>
      <c r="C29" s="144">
        <f>((2.71828184^(1*(LN(31.7563)-1.871184*2.71828184^(-0.674405*LN(L27)))))/100)^-1</f>
        <v>3.2464552194699485</v>
      </c>
      <c r="D29" s="144" t="s">
        <v>18</v>
      </c>
      <c r="E29" s="144">
        <f>((2.71828184^(1*(LN(60.4535)-1.950162*2.71828184^(-1.267465*LN(L27)))))/100)^-1</f>
        <v>1.6555713616571597</v>
      </c>
      <c r="F29" s="137"/>
      <c r="G29" s="137"/>
      <c r="H29" s="138"/>
      <c r="I29" s="138"/>
      <c r="J29" s="134"/>
      <c r="K29" s="147" t="s">
        <v>103</v>
      </c>
      <c r="L29" s="148">
        <f>ROUND((0+(E30/L27^0.5)*L26),3)</f>
        <v>1.7000000000000001E-2</v>
      </c>
      <c r="M29" s="100"/>
      <c r="N29" s="3"/>
    </row>
    <row r="30" spans="1:15" x14ac:dyDescent="0.3">
      <c r="A30" s="37"/>
      <c r="B30" s="146" t="s">
        <v>17</v>
      </c>
      <c r="C30" s="144">
        <f>IF(L28=95,C28,C29)</f>
        <v>3.2920974275312171</v>
      </c>
      <c r="D30" s="144" t="s">
        <v>19</v>
      </c>
      <c r="E30" s="144">
        <f>IF(L28=95,E28,E29)</f>
        <v>2.0028547346731704</v>
      </c>
      <c r="F30" s="149"/>
      <c r="G30" s="138"/>
      <c r="H30" s="149"/>
      <c r="I30" s="138"/>
      <c r="J30" s="137"/>
      <c r="K30" s="150" t="s">
        <v>138</v>
      </c>
      <c r="L30" s="5">
        <v>2.5</v>
      </c>
      <c r="M30" s="100"/>
      <c r="N30" s="3"/>
    </row>
    <row r="31" spans="1:15" x14ac:dyDescent="0.3">
      <c r="A31" s="39"/>
      <c r="B31" s="151" t="s">
        <v>21</v>
      </c>
      <c r="C31" s="151">
        <f>(2*((L25 -((E30/((L27)^0.5))*L26))-(L25-(C30*L26))))</f>
        <v>1.1255099453815776</v>
      </c>
      <c r="D31" s="152"/>
      <c r="E31" s="152"/>
      <c r="F31" s="153"/>
      <c r="G31" s="154"/>
      <c r="H31" s="155"/>
      <c r="I31" s="156"/>
      <c r="J31" s="157"/>
      <c r="K31" s="150" t="s">
        <v>139</v>
      </c>
      <c r="L31" s="5">
        <v>2.5</v>
      </c>
      <c r="M31" s="100"/>
      <c r="N31" s="105"/>
      <c r="O31" s="106"/>
    </row>
    <row r="32" spans="1:15" x14ac:dyDescent="0.3">
      <c r="A32" s="3"/>
      <c r="B32" s="3"/>
      <c r="C32" s="3"/>
      <c r="D32" s="3"/>
      <c r="E32" s="3"/>
      <c r="F32" s="7"/>
      <c r="G32" s="8"/>
      <c r="H32" s="7"/>
      <c r="I32" s="8"/>
      <c r="J32" s="3"/>
      <c r="K32" s="3"/>
      <c r="L32" s="3"/>
      <c r="M32" s="3"/>
      <c r="N32" s="106"/>
      <c r="O32" s="106"/>
    </row>
    <row r="33" spans="3:15" x14ac:dyDescent="0.3">
      <c r="N33" s="106"/>
      <c r="O33" s="106"/>
    </row>
    <row r="34" spans="3:15" x14ac:dyDescent="0.3">
      <c r="C34" s="9"/>
    </row>
    <row r="49" spans="4:8" x14ac:dyDescent="0.3">
      <c r="D49" s="3"/>
      <c r="E49" s="107"/>
      <c r="F49" s="107"/>
      <c r="G49" s="107"/>
      <c r="H49" s="3"/>
    </row>
  </sheetData>
  <sheetProtection algorithmName="SHA-512" hashValue="xZBXKZVK0jFDcAFbimE5IJd/5js0Z6S16mG+tstjrNU9RlQ7eyu0lGYOqjVU1wPMj1CRmlnCuiLt+eAJZ9kpzw==" saltValue="WZzWN8//rIAhXhIFg9o0eA==" spinCount="100000" sheet="1" objects="1" scenarios="1" selectLockedCells="1"/>
  <mergeCells count="2">
    <mergeCell ref="G1:L1"/>
    <mergeCell ref="D2:F2"/>
  </mergeCells>
  <dataValidations count="5">
    <dataValidation type="decimal" allowBlank="1" showInputMessage="1" showErrorMessage="1" sqref="G30:G31" xr:uid="{00000000-0002-0000-0200-000000000000}">
      <formula1>0.1</formula1>
      <formula2>10</formula2>
    </dataValidation>
    <dataValidation type="whole" operator="greaterThanOrEqual" allowBlank="1" showInputMessage="1" showErrorMessage="1" sqref="L27" xr:uid="{00000000-0002-0000-0200-000001000000}">
      <formula1>10</formula1>
    </dataValidation>
    <dataValidation operator="greaterThanOrEqual" allowBlank="1" showInputMessage="1" showErrorMessage="1" sqref="J8" xr:uid="{00000000-0002-0000-0200-000002000000}"/>
    <dataValidation operator="greaterThan" allowBlank="1" showInputMessage="1" showErrorMessage="1" sqref="B14" xr:uid="{00000000-0002-0000-0200-000003000000}"/>
    <dataValidation type="decimal" allowBlank="1" showInputMessage="1" showErrorMessage="1" sqref="L30 L31" xr:uid="{00000000-0002-0000-0200-000004000000}">
      <formula1>0.1</formula1>
      <formula2>5</formula2>
    </dataValidation>
  </dataValidations>
  <pageMargins left="0.7" right="0.7" top="0.78740157499999996" bottom="0.78740157499999996" header="0.3" footer="0.3"/>
  <pageSetup paperSize="9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N187"/>
  <sheetViews>
    <sheetView topLeftCell="A152" workbookViewId="0">
      <selection activeCell="J153" sqref="J153"/>
    </sheetView>
  </sheetViews>
  <sheetFormatPr baseColWidth="10" defaultRowHeight="14.4" x14ac:dyDescent="0.3"/>
  <cols>
    <col min="1" max="1" width="16.109375" style="1" customWidth="1"/>
    <col min="2" max="2" width="13.21875" style="1" customWidth="1"/>
    <col min="3" max="3" width="15.6640625" style="1" customWidth="1"/>
    <col min="4" max="4" width="12.109375" style="1" customWidth="1"/>
    <col min="5" max="5" width="18.44140625" style="1" customWidth="1"/>
    <col min="6" max="6" width="15.88671875" style="1" customWidth="1"/>
    <col min="7" max="8" width="14.44140625" style="1" customWidth="1"/>
    <col min="9" max="9" width="16.44140625" style="1" customWidth="1"/>
    <col min="10" max="10" width="16.6640625" style="1" customWidth="1"/>
    <col min="11" max="11" width="15.5546875" style="1" customWidth="1"/>
    <col min="12" max="12" width="16.6640625" style="1" customWidth="1"/>
    <col min="13" max="13" width="15.88671875" style="1" customWidth="1"/>
    <col min="14" max="16384" width="11.5546875" style="1"/>
  </cols>
  <sheetData>
    <row r="1" spans="1:14" x14ac:dyDescent="0.3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5.6" x14ac:dyDescent="0.3">
      <c r="A2" s="158" t="s">
        <v>22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9"/>
      <c r="M2" s="103"/>
      <c r="N2" s="103"/>
    </row>
    <row r="3" spans="1:14" ht="15.6" x14ac:dyDescent="0.3">
      <c r="A3" s="160" t="s">
        <v>160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9"/>
      <c r="M3" s="103"/>
      <c r="N3" s="103"/>
    </row>
    <row r="4" spans="1:14" ht="15.6" x14ac:dyDescent="0.3">
      <c r="A4" s="158" t="s">
        <v>161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9"/>
      <c r="M4" s="103"/>
      <c r="N4" s="103"/>
    </row>
    <row r="5" spans="1:14" ht="15.6" x14ac:dyDescent="0.3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03"/>
      <c r="M5" s="103"/>
      <c r="N5" s="103"/>
    </row>
    <row r="6" spans="1:14" ht="28.8" x14ac:dyDescent="0.55000000000000004">
      <c r="A6" s="162" t="s">
        <v>75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x14ac:dyDescent="0.3">
      <c r="A7" s="159" t="s">
        <v>23</v>
      </c>
      <c r="B7" s="103"/>
      <c r="C7" s="103"/>
      <c r="D7" s="103"/>
      <c r="E7" s="103"/>
      <c r="F7" s="103"/>
      <c r="G7" s="104" t="s">
        <v>51</v>
      </c>
      <c r="H7" s="104" t="s">
        <v>52</v>
      </c>
      <c r="I7" s="103"/>
      <c r="J7" s="103"/>
      <c r="K7" s="103"/>
      <c r="L7" s="103"/>
      <c r="M7" s="103"/>
      <c r="N7" s="103"/>
    </row>
    <row r="8" spans="1:14" x14ac:dyDescent="0.3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</row>
    <row r="9" spans="1:14" x14ac:dyDescent="0.3">
      <c r="A9" s="103"/>
      <c r="B9" s="103"/>
      <c r="C9" s="103"/>
      <c r="D9" s="103" t="s">
        <v>24</v>
      </c>
      <c r="E9" s="103"/>
      <c r="F9" s="103"/>
      <c r="G9" s="163">
        <f>'&lt;BESCHREIBUNG&gt;EINZELSERIEN'!$L$23</f>
        <v>2.0390000000000001</v>
      </c>
      <c r="H9" s="163">
        <f>'&lt;BESCHREIBUNG&gt;EINZELSERIEN'!$L$23</f>
        <v>2.0390000000000001</v>
      </c>
      <c r="I9" s="103"/>
      <c r="J9" s="103"/>
      <c r="K9" s="103"/>
      <c r="L9" s="103"/>
      <c r="M9" s="103"/>
      <c r="N9" s="103"/>
    </row>
    <row r="10" spans="1:14" x14ac:dyDescent="0.3">
      <c r="A10" s="103"/>
      <c r="B10" s="103"/>
      <c r="C10" s="103"/>
      <c r="D10" s="103"/>
      <c r="E10" s="103"/>
      <c r="F10" s="103"/>
      <c r="G10" s="163"/>
      <c r="H10" s="163"/>
      <c r="I10" s="103"/>
      <c r="J10" s="103"/>
      <c r="K10" s="103"/>
      <c r="L10" s="103"/>
      <c r="M10" s="103"/>
      <c r="N10" s="103"/>
    </row>
    <row r="11" spans="1:14" x14ac:dyDescent="0.3">
      <c r="A11" s="103"/>
      <c r="B11" s="103"/>
      <c r="C11" s="103"/>
      <c r="D11" s="103" t="s">
        <v>25</v>
      </c>
      <c r="E11" s="103"/>
      <c r="F11" s="103"/>
      <c r="G11" s="163">
        <f>'&lt;BESCHREIBUNG&gt;EINZELSERIEN'!$L$24</f>
        <v>0.17599999999999999</v>
      </c>
      <c r="H11" s="163">
        <f>'&lt;BESCHREIBUNG&gt;EINZELSERIEN'!$L$24</f>
        <v>0.17599999999999999</v>
      </c>
      <c r="I11" s="103"/>
      <c r="J11" s="103"/>
      <c r="K11" s="103"/>
      <c r="L11" s="103"/>
      <c r="M11" s="103"/>
      <c r="N11" s="103"/>
    </row>
    <row r="12" spans="1:14" x14ac:dyDescent="0.3">
      <c r="A12" s="103"/>
      <c r="B12" s="103"/>
      <c r="C12" s="103"/>
      <c r="D12" s="103"/>
      <c r="E12" s="103"/>
      <c r="F12" s="103"/>
      <c r="G12" s="163"/>
      <c r="H12" s="163"/>
      <c r="I12" s="103"/>
      <c r="J12" s="103"/>
      <c r="K12" s="103"/>
      <c r="L12" s="103"/>
      <c r="M12" s="103"/>
      <c r="N12" s="103"/>
    </row>
    <row r="13" spans="1:14" x14ac:dyDescent="0.3">
      <c r="A13" s="103"/>
      <c r="B13" s="103"/>
      <c r="C13" s="103"/>
      <c r="D13" s="103" t="s">
        <v>26</v>
      </c>
      <c r="E13" s="103"/>
      <c r="F13" s="103"/>
      <c r="G13" s="163">
        <f>'&lt;BESCHREIBUNG&gt;EINZELSERIEN'!$L$25</f>
        <v>448</v>
      </c>
      <c r="H13" s="163">
        <f>'&lt;BESCHREIBUNG&gt;EINZELSERIEN'!$L$25</f>
        <v>448</v>
      </c>
      <c r="I13" s="103"/>
      <c r="J13" s="103"/>
      <c r="K13" s="103"/>
      <c r="L13" s="103"/>
      <c r="M13" s="103"/>
      <c r="N13" s="103"/>
    </row>
    <row r="14" spans="1:14" x14ac:dyDescent="0.3">
      <c r="A14" s="103"/>
      <c r="B14" s="103"/>
      <c r="C14" s="103"/>
      <c r="D14" s="103"/>
      <c r="E14" s="103"/>
      <c r="F14" s="103"/>
      <c r="G14" s="163"/>
      <c r="H14" s="163"/>
      <c r="I14" s="103"/>
      <c r="J14" s="103"/>
      <c r="K14" s="103"/>
      <c r="L14" s="103"/>
      <c r="M14" s="103"/>
      <c r="N14" s="103"/>
    </row>
    <row r="15" spans="1:14" ht="18" x14ac:dyDescent="0.35">
      <c r="A15" s="103"/>
      <c r="B15" s="103"/>
      <c r="C15" s="103"/>
      <c r="D15" s="164" t="s">
        <v>60</v>
      </c>
      <c r="E15" s="103"/>
      <c r="F15" s="165">
        <f>'&lt;BESCHREIBUNG&gt;EINZELSERIEN'!$L$27</f>
        <v>95</v>
      </c>
      <c r="G15" s="163"/>
      <c r="H15" s="163"/>
      <c r="I15" s="103"/>
      <c r="J15" s="103"/>
      <c r="K15" s="103"/>
      <c r="L15" s="103"/>
      <c r="M15" s="103"/>
      <c r="N15" s="103"/>
    </row>
    <row r="16" spans="1:14" s="166" customFormat="1" x14ac:dyDescent="0.3">
      <c r="A16" s="103"/>
      <c r="B16" s="103"/>
      <c r="C16" s="103"/>
      <c r="D16" s="159"/>
      <c r="E16" s="103"/>
      <c r="F16" s="103"/>
      <c r="G16" s="163"/>
      <c r="H16" s="163"/>
      <c r="I16" s="103"/>
      <c r="J16" s="103"/>
      <c r="K16" s="103"/>
      <c r="L16" s="103"/>
      <c r="M16" s="103"/>
      <c r="N16" s="103"/>
    </row>
    <row r="17" spans="1:14" x14ac:dyDescent="0.3">
      <c r="A17" s="103"/>
      <c r="B17" s="103"/>
      <c r="C17" s="103"/>
      <c r="D17" s="103"/>
      <c r="E17" s="103"/>
      <c r="F17" s="103"/>
      <c r="G17" s="163"/>
      <c r="H17" s="163"/>
      <c r="I17" s="103"/>
      <c r="J17" s="103"/>
      <c r="K17" s="103"/>
      <c r="L17" s="103"/>
      <c r="M17" s="103"/>
      <c r="N17" s="103"/>
    </row>
    <row r="18" spans="1:14" x14ac:dyDescent="0.3">
      <c r="A18" s="103"/>
      <c r="B18" s="103"/>
      <c r="C18" s="103"/>
      <c r="D18" s="103" t="s">
        <v>27</v>
      </c>
      <c r="E18" s="103"/>
      <c r="F18" s="103"/>
      <c r="G18" s="163">
        <f>'&lt;BESCHREIBUNG&gt;EINZELSERIEN'!$G$30</f>
        <v>5</v>
      </c>
      <c r="H18" s="163">
        <f>'&lt;BESCHREIBUNG&gt;EINZELSERIEN'!$G$30</f>
        <v>5</v>
      </c>
      <c r="I18" s="103"/>
      <c r="J18" s="103"/>
      <c r="K18" s="103"/>
      <c r="L18" s="103"/>
      <c r="M18" s="103"/>
      <c r="N18" s="103"/>
    </row>
    <row r="19" spans="1:14" ht="18" x14ac:dyDescent="0.35">
      <c r="A19" s="103"/>
      <c r="B19" s="103"/>
      <c r="C19" s="103"/>
      <c r="D19" s="164"/>
      <c r="E19" s="164"/>
      <c r="F19" s="167"/>
      <c r="G19" s="165"/>
      <c r="H19" s="165"/>
      <c r="I19" s="164"/>
      <c r="J19" s="103"/>
      <c r="K19" s="103"/>
      <c r="L19" s="103"/>
      <c r="M19" s="103"/>
      <c r="N19" s="103"/>
    </row>
    <row r="20" spans="1:14" x14ac:dyDescent="0.3">
      <c r="A20" s="103"/>
      <c r="B20" s="103"/>
      <c r="C20" s="103"/>
      <c r="D20" s="103" t="s">
        <v>28</v>
      </c>
      <c r="E20" s="103"/>
      <c r="F20" s="103"/>
      <c r="G20" s="163">
        <f>'&lt;BESCHREIBUNG&gt;EINZELSERIEN'!$G$30</f>
        <v>5</v>
      </c>
      <c r="H20" s="163">
        <f>'&lt;BESCHREIBUNG&gt;EINZELSERIEN'!$G$30</f>
        <v>5</v>
      </c>
      <c r="I20" s="103"/>
      <c r="J20" s="103"/>
      <c r="K20" s="103"/>
      <c r="L20" s="103"/>
      <c r="M20" s="103"/>
      <c r="N20" s="103"/>
    </row>
    <row r="21" spans="1:14" x14ac:dyDescent="0.3">
      <c r="A21" s="103"/>
      <c r="B21" s="103"/>
      <c r="C21" s="103"/>
      <c r="D21" s="163"/>
      <c r="E21" s="103"/>
      <c r="F21" s="103"/>
      <c r="G21" s="103"/>
      <c r="H21" s="103"/>
      <c r="I21" s="103"/>
      <c r="J21" s="103"/>
      <c r="K21" s="103"/>
      <c r="L21" s="103"/>
      <c r="M21" s="103"/>
      <c r="N21" s="103"/>
    </row>
    <row r="22" spans="1:14" x14ac:dyDescent="0.3">
      <c r="A22" s="103"/>
      <c r="B22" s="103"/>
      <c r="C22" s="103"/>
      <c r="D22" s="163"/>
      <c r="E22" s="103"/>
      <c r="F22" s="103"/>
      <c r="G22" s="103"/>
      <c r="H22" s="103"/>
      <c r="I22" s="103"/>
      <c r="J22" s="103"/>
      <c r="K22" s="103"/>
      <c r="L22" s="103"/>
      <c r="M22" s="103"/>
      <c r="N22" s="103"/>
    </row>
    <row r="23" spans="1:14" x14ac:dyDescent="0.3">
      <c r="A23" s="103"/>
      <c r="B23" s="103"/>
      <c r="C23" s="103"/>
      <c r="D23" s="103"/>
      <c r="E23" s="159"/>
      <c r="F23" s="103"/>
      <c r="G23" s="103"/>
      <c r="H23" s="103"/>
      <c r="I23" s="103"/>
      <c r="J23" s="102"/>
      <c r="K23" s="103"/>
      <c r="L23" s="103"/>
      <c r="M23" s="103"/>
      <c r="N23" s="103"/>
    </row>
    <row r="24" spans="1:14" x14ac:dyDescent="0.3">
      <c r="A24" s="103"/>
      <c r="B24" s="103"/>
      <c r="C24" s="103"/>
      <c r="D24" s="103"/>
      <c r="E24" s="103"/>
      <c r="F24" s="103"/>
      <c r="G24" s="103"/>
      <c r="H24" s="103"/>
      <c r="I24" s="103"/>
      <c r="J24" s="102"/>
      <c r="K24" s="103"/>
      <c r="L24" s="103"/>
      <c r="M24" s="103"/>
      <c r="N24" s="103"/>
    </row>
    <row r="25" spans="1:14" x14ac:dyDescent="0.3">
      <c r="A25" s="103"/>
      <c r="B25" s="103"/>
      <c r="C25" s="103"/>
      <c r="D25" s="103"/>
      <c r="E25" s="159"/>
      <c r="F25" s="103"/>
      <c r="G25" s="103"/>
      <c r="H25" s="103"/>
      <c r="I25" s="103"/>
      <c r="J25" s="102"/>
      <c r="K25" s="103"/>
      <c r="L25" s="103"/>
      <c r="M25" s="103"/>
      <c r="N25" s="103"/>
    </row>
    <row r="26" spans="1:14" x14ac:dyDescent="0.3">
      <c r="A26" s="103"/>
      <c r="B26" s="103"/>
      <c r="C26" s="103"/>
      <c r="D26" s="103"/>
      <c r="E26" s="103"/>
      <c r="F26" s="103"/>
      <c r="G26" s="103"/>
      <c r="H26" s="103"/>
      <c r="I26" s="103"/>
      <c r="J26" s="102"/>
      <c r="K26" s="103"/>
      <c r="L26" s="103"/>
      <c r="M26" s="103"/>
      <c r="N26" s="103"/>
    </row>
    <row r="27" spans="1:14" x14ac:dyDescent="0.3">
      <c r="A27" s="103"/>
      <c r="B27" s="103"/>
      <c r="C27" s="103"/>
      <c r="D27" s="103"/>
      <c r="E27" s="103"/>
      <c r="F27" s="103"/>
      <c r="G27" s="103"/>
      <c r="H27" s="103"/>
      <c r="I27" s="103"/>
      <c r="J27" s="102"/>
      <c r="K27" s="103"/>
      <c r="L27" s="103"/>
      <c r="M27" s="103"/>
      <c r="N27" s="103"/>
    </row>
    <row r="28" spans="1:14" x14ac:dyDescent="0.3">
      <c r="A28" s="103"/>
      <c r="B28" s="103"/>
      <c r="C28" s="103"/>
      <c r="D28" s="103"/>
      <c r="E28" s="103"/>
      <c r="F28" s="103"/>
      <c r="G28" s="103"/>
      <c r="H28" s="103"/>
      <c r="I28" s="104" t="s">
        <v>66</v>
      </c>
      <c r="J28" s="102"/>
      <c r="K28" s="103"/>
      <c r="L28" s="103"/>
      <c r="M28" s="103"/>
      <c r="N28" s="103"/>
    </row>
    <row r="29" spans="1:14" x14ac:dyDescent="0.3">
      <c r="A29" s="168" t="s">
        <v>29</v>
      </c>
      <c r="B29" s="169"/>
      <c r="C29" s="169"/>
      <c r="D29" s="169"/>
      <c r="E29" s="169"/>
      <c r="F29" s="170"/>
      <c r="G29" s="170" t="s">
        <v>30</v>
      </c>
      <c r="H29" s="170" t="s">
        <v>31</v>
      </c>
      <c r="I29" s="170" t="s">
        <v>67</v>
      </c>
      <c r="J29" s="102"/>
      <c r="K29" s="103"/>
      <c r="L29" s="103"/>
      <c r="M29" s="103"/>
      <c r="N29" s="103"/>
    </row>
    <row r="30" spans="1:14" x14ac:dyDescent="0.3">
      <c r="A30" s="103"/>
      <c r="B30" s="103"/>
      <c r="C30" s="103"/>
      <c r="D30" s="103"/>
      <c r="E30" s="103"/>
      <c r="F30" s="103"/>
      <c r="G30" s="103"/>
      <c r="H30" s="103"/>
      <c r="I30" s="103"/>
      <c r="J30" s="102"/>
      <c r="K30" s="103"/>
      <c r="L30" s="103"/>
      <c r="M30" s="103"/>
      <c r="N30" s="103"/>
    </row>
    <row r="31" spans="1:14" x14ac:dyDescent="0.3">
      <c r="A31" s="103" t="s">
        <v>32</v>
      </c>
      <c r="B31" s="103"/>
      <c r="C31" s="103" t="s">
        <v>69</v>
      </c>
      <c r="D31" s="103"/>
      <c r="E31" s="103"/>
      <c r="F31" s="170"/>
      <c r="G31" s="170">
        <f>ROUND((G9-G11*(2.71828183^(LN(G57)-(G53)*2.71828183^(G55*LN(100/(1*G18)))))),3)</f>
        <v>1.7370000000000001</v>
      </c>
      <c r="H31" s="170">
        <f>ROUND((G9-G11*(2.71828183^(LN(H57)-(H53)*2.71828183^(H55*LN(100/G18))))),3)</f>
        <v>1.732</v>
      </c>
      <c r="I31" s="170">
        <f>IF(F15=90,G31,H31)</f>
        <v>1.732</v>
      </c>
      <c r="J31" s="102"/>
      <c r="K31" s="103"/>
      <c r="L31" s="103"/>
      <c r="M31" s="103"/>
      <c r="N31" s="103"/>
    </row>
    <row r="32" spans="1:14" x14ac:dyDescent="0.3">
      <c r="A32" s="103"/>
      <c r="B32" s="103"/>
      <c r="C32" s="103"/>
      <c r="D32" s="103"/>
      <c r="E32" s="103"/>
      <c r="F32" s="170" t="s">
        <v>68</v>
      </c>
      <c r="G32" s="170">
        <f>ROUND((G9-G11*(2.71828183^(LN(G57)-(G53)*2.71828183^(G55*LN(100/(1*0.1)))))),3)</f>
        <v>1.4690000000000001</v>
      </c>
      <c r="H32" s="170">
        <f>ROUND((G8-G11*(2.71828183^(LN(H57)-(H53)*2.71828183^(H55*LN(100/0.1))))),3)</f>
        <v>-0.57699999999999996</v>
      </c>
      <c r="I32" s="171">
        <f>IF(F15=90,G32,H32)</f>
        <v>-0.57699999999999996</v>
      </c>
      <c r="J32" s="102"/>
      <c r="K32" s="103"/>
      <c r="L32" s="103"/>
      <c r="M32" s="103"/>
      <c r="N32" s="103"/>
    </row>
    <row r="33" spans="1:14" x14ac:dyDescent="0.3">
      <c r="A33" s="103" t="s">
        <v>33</v>
      </c>
      <c r="B33" s="103"/>
      <c r="C33" s="103" t="s">
        <v>69</v>
      </c>
      <c r="D33" s="103"/>
      <c r="E33" s="103"/>
      <c r="F33" s="170"/>
      <c r="G33" s="170">
        <f>ROUND((G9+G11*(2.71828183^(LN(G57)-(G53)*2.71828183^(G55*LN(100/G18))))),3)</f>
        <v>2.3410000000000002</v>
      </c>
      <c r="H33" s="170">
        <f>ROUND((G9+G11*(2.71828183^(LN(H57)-(H53)*2.71828183^(H55*LN(100/G20))))),3)</f>
        <v>2.3460000000000001</v>
      </c>
      <c r="I33" s="170">
        <f>IF(F15=90,G33,H33)</f>
        <v>2.3460000000000001</v>
      </c>
      <c r="J33" s="103"/>
      <c r="K33" s="163"/>
      <c r="L33" s="103"/>
      <c r="M33" s="103"/>
      <c r="N33" s="103"/>
    </row>
    <row r="34" spans="1:14" x14ac:dyDescent="0.3">
      <c r="A34" s="103"/>
      <c r="B34" s="103"/>
      <c r="C34" s="103"/>
      <c r="D34" s="103"/>
      <c r="E34" s="103"/>
      <c r="F34" s="170" t="s">
        <v>68</v>
      </c>
      <c r="G34" s="170">
        <f>ROUND((G9+G11*(2.71828183^(LN(G57)-(G53)*2.71828183^(G55*LN(100/0.1))))),3)</f>
        <v>2.609</v>
      </c>
      <c r="H34" s="170">
        <f>ROUND((G9+G11*(2.71828183^(LN(H57)-(H53)*2.71828183^(H55*LN(100/0.1))))),3)</f>
        <v>2.6160000000000001</v>
      </c>
      <c r="I34" s="170">
        <f>IF(F15=90,G34,H34)</f>
        <v>2.6160000000000001</v>
      </c>
      <c r="J34" s="170"/>
      <c r="K34" s="163"/>
      <c r="L34" s="103"/>
      <c r="M34" s="103"/>
      <c r="N34" s="103"/>
    </row>
    <row r="35" spans="1:14" x14ac:dyDescent="0.3">
      <c r="A35" s="103" t="s">
        <v>64</v>
      </c>
      <c r="B35" s="103"/>
      <c r="C35" s="163"/>
      <c r="D35" s="103"/>
      <c r="E35" s="103"/>
      <c r="F35" s="170"/>
      <c r="G35" s="170">
        <f>ROUND((((2.71828183^((LN((LN(G57)-(LN(ABS(G9-H83)/G11)))/(G53)))/(G55)))^-1)*100),2)</f>
        <v>0.99</v>
      </c>
      <c r="H35" s="170">
        <f>ROUND((((2.71828183^((LN((LN(H57)-(LN(ABS(G9-H83)/G11)))/(H53)))/(H55)))^-1)*100),2)</f>
        <v>1.08</v>
      </c>
      <c r="I35" s="170">
        <f>IF(F15=90,G35,H35)</f>
        <v>1.08</v>
      </c>
      <c r="J35" s="159"/>
      <c r="K35" s="163"/>
      <c r="L35" s="170"/>
      <c r="M35" s="103"/>
      <c r="N35" s="103"/>
    </row>
    <row r="36" spans="1:14" x14ac:dyDescent="0.3">
      <c r="A36" s="103"/>
      <c r="B36" s="103"/>
      <c r="C36" s="103"/>
      <c r="D36" s="103"/>
      <c r="E36" s="103"/>
      <c r="F36" s="170" t="s">
        <v>68</v>
      </c>
      <c r="G36" s="170">
        <f>ROUND((((2.71828183^((LN((LN(G57)-(LN(ABS(G9-G32)/G11)))/(G53)))/(G55)))^-1)*100),2)</f>
        <v>0.1</v>
      </c>
      <c r="H36" s="170" t="e">
        <f>ROUND((((2.71828183^((LN((LN(H57)-(LN(ABS(G9-H32)/G11)))/(H53)))/(H55)))^-1)*100),2)</f>
        <v>#NUM!</v>
      </c>
      <c r="I36" s="170" t="e">
        <f>IF(F15=90,G36,H36)</f>
        <v>#NUM!</v>
      </c>
      <c r="J36" s="103"/>
      <c r="K36" s="163"/>
      <c r="L36" s="103"/>
      <c r="M36" s="103"/>
      <c r="N36" s="103"/>
    </row>
    <row r="37" spans="1:14" x14ac:dyDescent="0.3">
      <c r="A37" s="103" t="s">
        <v>65</v>
      </c>
      <c r="B37" s="103"/>
      <c r="C37" s="103"/>
      <c r="D37" s="103"/>
      <c r="E37" s="103"/>
      <c r="F37" s="170"/>
      <c r="G37" s="170">
        <f>ROUND((((2.71828183^((LN((LN(G57)-(LN(ABS(G9-H85)/G11)))/(G53)))/(G55)))^-1)*100),2)</f>
        <v>0.99</v>
      </c>
      <c r="H37" s="170">
        <f>ROUND((((2.71828183^((LN((LN(H57)-(LN(ABS(G9-H85)/G11)))/(H53)))/(H55)))^-1)*100),2)</f>
        <v>1.08</v>
      </c>
      <c r="I37" s="170">
        <f>IF(F15=90,G37,H37)</f>
        <v>1.08</v>
      </c>
      <c r="J37" s="170"/>
      <c r="K37" s="163"/>
      <c r="L37" s="103"/>
      <c r="M37" s="103"/>
      <c r="N37" s="103"/>
    </row>
    <row r="38" spans="1:14" x14ac:dyDescent="0.3">
      <c r="A38" s="103"/>
      <c r="B38" s="103"/>
      <c r="C38" s="103"/>
      <c r="D38" s="103"/>
      <c r="E38" s="103"/>
      <c r="F38" s="104" t="s">
        <v>68</v>
      </c>
      <c r="G38" s="104">
        <f>ROUND((((2.71828183^((LN((LN(G57)-(LN(ABS(G9-G34)/G11)))/(G53)))/(G55)))^-1)*100),2)</f>
        <v>0.1</v>
      </c>
      <c r="H38" s="104">
        <f>ROUND((((2.71828183^((LN((LN(H57)-(LN(ABS(G9-H34)/G11)))/(H53)))/(H55)))^-1)*100),2)</f>
        <v>0.1</v>
      </c>
      <c r="I38" s="104">
        <f>IF(F15=90,G38,H38)</f>
        <v>0.1</v>
      </c>
      <c r="J38" s="170"/>
      <c r="K38" s="163"/>
      <c r="L38" s="103"/>
      <c r="M38" s="103"/>
      <c r="N38" s="103"/>
    </row>
    <row r="39" spans="1:14" x14ac:dyDescent="0.3">
      <c r="A39" s="103"/>
      <c r="B39" s="103"/>
      <c r="C39" s="103"/>
      <c r="D39" s="103"/>
      <c r="E39" s="103"/>
      <c r="F39" s="103"/>
      <c r="G39" s="103"/>
      <c r="H39" s="103"/>
      <c r="I39" s="103"/>
      <c r="J39" s="170"/>
      <c r="K39" s="163"/>
      <c r="L39" s="103"/>
      <c r="M39" s="103"/>
      <c r="N39" s="103"/>
    </row>
    <row r="40" spans="1:14" x14ac:dyDescent="0.3">
      <c r="A40" s="103"/>
      <c r="B40" s="103"/>
      <c r="C40" s="103"/>
      <c r="D40" s="103"/>
      <c r="E40" s="103"/>
      <c r="F40" s="103"/>
      <c r="G40" s="103"/>
      <c r="H40" s="103"/>
      <c r="I40" s="102"/>
      <c r="J40" s="170"/>
      <c r="K40" s="103"/>
      <c r="L40" s="103"/>
      <c r="M40" s="103"/>
      <c r="N40" s="103"/>
    </row>
    <row r="41" spans="1:14" x14ac:dyDescent="0.3">
      <c r="A41" s="103" t="s">
        <v>34</v>
      </c>
      <c r="B41" s="103" t="s">
        <v>35</v>
      </c>
      <c r="C41" s="103"/>
      <c r="D41" s="103"/>
      <c r="E41" s="103"/>
      <c r="F41" s="103"/>
      <c r="G41" s="103">
        <v>1.5671079999999999</v>
      </c>
      <c r="H41" s="103">
        <v>1.4221630000000001</v>
      </c>
      <c r="I41" s="172"/>
      <c r="J41" s="170"/>
      <c r="K41" s="103"/>
      <c r="L41" s="103"/>
      <c r="M41" s="103"/>
      <c r="N41" s="103"/>
    </row>
    <row r="42" spans="1:14" x14ac:dyDescent="0.3">
      <c r="A42" s="103"/>
      <c r="B42" s="103" t="s">
        <v>36</v>
      </c>
      <c r="C42" s="103"/>
      <c r="D42" s="103"/>
      <c r="E42" s="103"/>
      <c r="F42" s="103"/>
      <c r="G42" s="103">
        <v>-0.131221</v>
      </c>
      <c r="H42" s="103">
        <v>-0.123849</v>
      </c>
      <c r="I42" s="172"/>
      <c r="J42" s="170"/>
      <c r="K42" s="103"/>
      <c r="L42" s="103"/>
      <c r="M42" s="103"/>
      <c r="N42" s="103"/>
    </row>
    <row r="43" spans="1:14" x14ac:dyDescent="0.3">
      <c r="A43" s="103"/>
      <c r="B43" s="103" t="s">
        <v>37</v>
      </c>
      <c r="C43" s="103"/>
      <c r="D43" s="103"/>
      <c r="E43" s="103"/>
      <c r="F43" s="103"/>
      <c r="G43" s="103">
        <v>86.366</v>
      </c>
      <c r="H43" s="103">
        <v>87.387</v>
      </c>
      <c r="I43" s="172"/>
      <c r="J43" s="170"/>
      <c r="K43" s="103"/>
      <c r="L43" s="103"/>
      <c r="M43" s="103"/>
      <c r="N43" s="103"/>
    </row>
    <row r="44" spans="1:14" x14ac:dyDescent="0.3">
      <c r="A44" s="103"/>
      <c r="B44" s="103"/>
      <c r="C44" s="103"/>
      <c r="D44" s="103"/>
      <c r="E44" s="103"/>
      <c r="F44" s="103"/>
      <c r="G44" s="103"/>
      <c r="H44" s="103"/>
      <c r="I44" s="172"/>
      <c r="J44" s="103"/>
      <c r="K44" s="103"/>
      <c r="L44" s="103"/>
      <c r="M44" s="103"/>
      <c r="N44" s="103"/>
    </row>
    <row r="45" spans="1:14" x14ac:dyDescent="0.3">
      <c r="A45" s="103"/>
      <c r="B45" s="103" t="s">
        <v>38</v>
      </c>
      <c r="C45" s="103"/>
      <c r="D45" s="103"/>
      <c r="E45" s="103"/>
      <c r="F45" s="103"/>
      <c r="G45" s="103">
        <v>1.972073</v>
      </c>
      <c r="H45" s="103">
        <v>1.845048</v>
      </c>
      <c r="I45" s="172"/>
      <c r="J45" s="173"/>
      <c r="K45" s="103"/>
      <c r="L45" s="103"/>
      <c r="M45" s="103"/>
      <c r="N45" s="103"/>
    </row>
    <row r="46" spans="1:14" x14ac:dyDescent="0.3">
      <c r="A46" s="103"/>
      <c r="B46" s="103" t="s">
        <v>39</v>
      </c>
      <c r="C46" s="103"/>
      <c r="D46" s="103"/>
      <c r="E46" s="103"/>
      <c r="F46" s="103"/>
      <c r="G46" s="103">
        <v>-0.113206</v>
      </c>
      <c r="H46" s="103">
        <v>-0.100951</v>
      </c>
      <c r="I46" s="172"/>
      <c r="J46" s="103"/>
      <c r="K46" s="103"/>
      <c r="L46" s="103"/>
      <c r="M46" s="103"/>
      <c r="N46" s="103"/>
    </row>
    <row r="47" spans="1:14" x14ac:dyDescent="0.3">
      <c r="A47" s="103"/>
      <c r="B47" s="103" t="s">
        <v>40</v>
      </c>
      <c r="C47" s="103"/>
      <c r="D47" s="103"/>
      <c r="E47" s="103"/>
      <c r="F47" s="103"/>
      <c r="G47" s="103">
        <v>32.512999999999998</v>
      </c>
      <c r="H47" s="103">
        <v>32.825000000000003</v>
      </c>
      <c r="I47" s="172"/>
      <c r="J47" s="103"/>
      <c r="K47" s="103"/>
      <c r="L47" s="103"/>
      <c r="M47" s="103"/>
      <c r="N47" s="103"/>
    </row>
    <row r="48" spans="1:14" x14ac:dyDescent="0.3">
      <c r="A48" s="103"/>
      <c r="B48" s="103"/>
      <c r="C48" s="103"/>
      <c r="D48" s="103"/>
      <c r="E48" s="103"/>
      <c r="F48" s="103"/>
      <c r="G48" s="103"/>
      <c r="H48" s="103"/>
      <c r="I48" s="172"/>
      <c r="J48" s="103"/>
      <c r="K48" s="103"/>
      <c r="L48" s="6"/>
      <c r="M48" s="103"/>
      <c r="N48" s="103"/>
    </row>
    <row r="49" spans="1:14" x14ac:dyDescent="0.3">
      <c r="A49" s="103"/>
      <c r="B49" s="103" t="s">
        <v>41</v>
      </c>
      <c r="C49" s="103"/>
      <c r="D49" s="103"/>
      <c r="E49" s="103"/>
      <c r="F49" s="103"/>
      <c r="G49" s="103">
        <v>1.7942720000000001</v>
      </c>
      <c r="H49" s="103">
        <v>2.3219850000000002</v>
      </c>
      <c r="I49" s="172"/>
      <c r="J49" s="103"/>
      <c r="K49" s="103"/>
      <c r="L49" s="103"/>
      <c r="M49" s="103"/>
      <c r="N49" s="103"/>
    </row>
    <row r="50" spans="1:14" x14ac:dyDescent="0.3">
      <c r="A50" s="103"/>
      <c r="B50" s="103" t="s">
        <v>42</v>
      </c>
      <c r="C50" s="103"/>
      <c r="D50" s="103"/>
      <c r="E50" s="103"/>
      <c r="F50" s="103"/>
      <c r="G50" s="103">
        <v>-0.62314599999999998</v>
      </c>
      <c r="H50" s="103">
        <v>-0.62603799999999998</v>
      </c>
      <c r="I50" s="172"/>
      <c r="J50" s="103"/>
      <c r="K50" s="103"/>
      <c r="L50" s="103"/>
      <c r="M50" s="103"/>
      <c r="N50" s="103"/>
    </row>
    <row r="51" spans="1:14" x14ac:dyDescent="0.3">
      <c r="A51" s="103"/>
      <c r="B51" s="103" t="s">
        <v>43</v>
      </c>
      <c r="C51" s="103"/>
      <c r="D51" s="103"/>
      <c r="E51" s="103"/>
      <c r="F51" s="103"/>
      <c r="G51" s="103">
        <v>24.9</v>
      </c>
      <c r="H51" s="103">
        <v>24.821999999999999</v>
      </c>
      <c r="I51" s="172"/>
      <c r="J51" s="103"/>
      <c r="K51" s="103"/>
      <c r="L51" s="103"/>
      <c r="M51" s="103"/>
      <c r="N51" s="103"/>
    </row>
    <row r="52" spans="1:14" x14ac:dyDescent="0.3">
      <c r="A52" s="103"/>
      <c r="B52" s="103"/>
      <c r="C52" s="103"/>
      <c r="D52" s="103"/>
      <c r="E52" s="103"/>
      <c r="F52" s="103"/>
      <c r="G52" s="103"/>
      <c r="H52" s="103"/>
      <c r="I52" s="172"/>
      <c r="J52" s="103"/>
      <c r="K52" s="103"/>
      <c r="L52" s="103"/>
      <c r="M52" s="103"/>
      <c r="N52" s="103"/>
    </row>
    <row r="53" spans="1:14" x14ac:dyDescent="0.3">
      <c r="A53" s="103" t="s">
        <v>44</v>
      </c>
      <c r="B53" s="103"/>
      <c r="C53" s="103"/>
      <c r="D53" s="103"/>
      <c r="E53" s="103"/>
      <c r="F53" s="103"/>
      <c r="G53" s="103">
        <f>(2.71828183^((G43-2.71828183^(LN(G43)-(G41*(2.71828183^(-G42*LN(G13))))))/100))</f>
        <v>2.3102483646391572</v>
      </c>
      <c r="H53" s="103">
        <f>(2.71828183^((H43-2.71828183^(LN(H43)-(H41*(2.71828183^(-H42*LN(G13))))))/100))</f>
        <v>2.2970107366102952</v>
      </c>
      <c r="I53" s="172"/>
      <c r="J53" s="103"/>
      <c r="K53" s="103"/>
      <c r="L53" s="103"/>
      <c r="M53" s="103"/>
      <c r="N53" s="103"/>
    </row>
    <row r="54" spans="1:14" x14ac:dyDescent="0.3">
      <c r="A54" s="103"/>
      <c r="B54" s="103"/>
      <c r="C54" s="103"/>
      <c r="D54" s="103"/>
      <c r="E54" s="103"/>
      <c r="F54" s="103"/>
      <c r="G54" s="103"/>
      <c r="H54" s="103"/>
      <c r="I54" s="172"/>
      <c r="J54" s="103"/>
      <c r="K54" s="103"/>
      <c r="L54" s="103"/>
      <c r="M54" s="103"/>
      <c r="N54" s="103"/>
    </row>
    <row r="55" spans="1:14" x14ac:dyDescent="0.3">
      <c r="A55" s="103"/>
      <c r="B55" s="103"/>
      <c r="C55" s="103"/>
      <c r="D55" s="103" t="s">
        <v>45</v>
      </c>
      <c r="E55" s="103"/>
      <c r="F55" s="103"/>
      <c r="G55" s="103">
        <f>(G47-2.71828183^(LN(G47)-(G45*(2.71828183^(-G46*LN(G13))))))/(-100)</f>
        <v>-0.3187819461857333</v>
      </c>
      <c r="H55" s="103">
        <f>(H47-2.71828183^(LN(H47)-(H45*(2.71828183^(-H46*LN(G13))))))/(-100)</f>
        <v>-0.31748088602176211</v>
      </c>
      <c r="I55" s="172"/>
      <c r="J55" s="103"/>
      <c r="K55" s="103"/>
      <c r="L55" s="103"/>
      <c r="M55" s="103"/>
      <c r="N55" s="103"/>
    </row>
    <row r="56" spans="1:14" x14ac:dyDescent="0.3">
      <c r="A56" s="103"/>
      <c r="B56" s="103"/>
      <c r="C56" s="103"/>
      <c r="D56" s="103"/>
      <c r="E56" s="103"/>
      <c r="F56" s="103"/>
      <c r="G56" s="103"/>
      <c r="H56" s="103"/>
      <c r="I56" s="172"/>
      <c r="J56" s="103"/>
      <c r="K56" s="103"/>
      <c r="L56" s="103"/>
      <c r="M56" s="103"/>
      <c r="N56" s="103"/>
    </row>
    <row r="57" spans="1:14" x14ac:dyDescent="0.3">
      <c r="A57" s="103"/>
      <c r="B57" s="103"/>
      <c r="C57" s="103"/>
      <c r="D57" s="103" t="s">
        <v>46</v>
      </c>
      <c r="E57" s="103"/>
      <c r="F57" s="103"/>
      <c r="G57" s="103">
        <f>((2.71828183^(LN(G51)-G49*2.71828183^(G50*LN(G13))))^-1)*100</f>
        <v>4.179845561688146</v>
      </c>
      <c r="H57" s="103">
        <f>((2.71828183^(LN(H51)-H49*2.71828183^(H50*LN(G13))))^-1)*100</f>
        <v>4.2387254881558274</v>
      </c>
      <c r="I57" s="172"/>
      <c r="J57" s="103"/>
      <c r="K57" s="103"/>
      <c r="L57" s="103"/>
      <c r="M57" s="103"/>
      <c r="N57" s="103"/>
    </row>
    <row r="58" spans="1:14" x14ac:dyDescent="0.3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</row>
    <row r="59" spans="1:14" x14ac:dyDescent="0.3">
      <c r="A59" s="103" t="s">
        <v>47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</row>
    <row r="60" spans="1:14" x14ac:dyDescent="0.3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</row>
    <row r="61" spans="1:14" x14ac:dyDescent="0.3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</row>
    <row r="62" spans="1:14" x14ac:dyDescent="0.3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</row>
    <row r="63" spans="1:14" ht="15.6" x14ac:dyDescent="0.3">
      <c r="A63" s="158" t="s">
        <v>22</v>
      </c>
      <c r="B63" s="158"/>
      <c r="C63" s="158"/>
      <c r="D63" s="158"/>
      <c r="E63" s="158"/>
      <c r="F63" s="158"/>
      <c r="G63" s="158"/>
      <c r="H63" s="158"/>
      <c r="I63" s="158"/>
      <c r="J63" s="103"/>
      <c r="K63" s="103"/>
      <c r="L63" s="103"/>
      <c r="M63" s="103"/>
      <c r="N63" s="103"/>
    </row>
    <row r="64" spans="1:14" ht="15.6" x14ac:dyDescent="0.3">
      <c r="A64" s="160" t="s">
        <v>160</v>
      </c>
      <c r="B64" s="158"/>
      <c r="C64" s="158"/>
      <c r="D64" s="158"/>
      <c r="E64" s="158"/>
      <c r="F64" s="158"/>
      <c r="G64" s="158"/>
      <c r="H64" s="158"/>
      <c r="I64" s="158"/>
      <c r="J64" s="103"/>
      <c r="K64" s="103"/>
      <c r="L64" s="103"/>
      <c r="M64" s="103"/>
      <c r="N64" s="103"/>
    </row>
    <row r="65" spans="1:14" ht="15.6" x14ac:dyDescent="0.3">
      <c r="A65" s="158" t="s">
        <v>162</v>
      </c>
      <c r="B65" s="158"/>
      <c r="C65" s="158"/>
      <c r="D65" s="158"/>
      <c r="E65" s="158"/>
      <c r="F65" s="158"/>
      <c r="G65" s="158"/>
      <c r="H65" s="158"/>
      <c r="I65" s="158"/>
      <c r="J65" s="103"/>
      <c r="K65" s="103"/>
      <c r="L65" s="103"/>
      <c r="M65" s="103"/>
      <c r="N65" s="103"/>
    </row>
    <row r="66" spans="1:14" x14ac:dyDescent="0.3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</row>
    <row r="67" spans="1:14" ht="28.8" x14ac:dyDescent="0.55000000000000004">
      <c r="A67" s="162" t="s">
        <v>73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</row>
    <row r="68" spans="1:14" x14ac:dyDescent="0.3">
      <c r="A68" s="159" t="s">
        <v>23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</row>
    <row r="69" spans="1:14" x14ac:dyDescent="0.3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</row>
    <row r="70" spans="1:14" x14ac:dyDescent="0.3">
      <c r="A70" s="103" t="s">
        <v>24</v>
      </c>
      <c r="B70" s="103"/>
      <c r="C70" s="103"/>
      <c r="D70" s="163">
        <f>'&lt;BESCHREIBUNG&gt;EINZELSERIEN'!$L$23</f>
        <v>2.0390000000000001</v>
      </c>
      <c r="E70" s="103" t="s">
        <v>87</v>
      </c>
      <c r="F70" s="103"/>
      <c r="G70" s="103"/>
      <c r="H70" s="103"/>
      <c r="I70" s="103"/>
      <c r="J70" s="103"/>
      <c r="K70" s="103"/>
      <c r="L70" s="103"/>
      <c r="M70" s="103"/>
      <c r="N70" s="103"/>
    </row>
    <row r="71" spans="1:14" x14ac:dyDescent="0.3">
      <c r="A71" s="103"/>
      <c r="B71" s="103"/>
      <c r="C71" s="103"/>
      <c r="D71" s="163"/>
      <c r="E71" s="103" t="s">
        <v>84</v>
      </c>
      <c r="F71" s="103"/>
      <c r="G71" s="103">
        <f>((ABS(I94-D70))-((D72*H71)/D74^0.5))</f>
        <v>0.39934582544529496</v>
      </c>
      <c r="H71" s="103">
        <f>'&lt;BESCHREIBUNG&gt; SERIENSUMME'!$E$30</f>
        <v>2.0028547346731704</v>
      </c>
      <c r="I71" s="103"/>
      <c r="J71" s="103"/>
      <c r="K71" s="103"/>
      <c r="L71" s="103"/>
      <c r="M71" s="103"/>
      <c r="N71" s="103"/>
    </row>
    <row r="72" spans="1:14" x14ac:dyDescent="0.3">
      <c r="A72" s="103" t="s">
        <v>25</v>
      </c>
      <c r="B72" s="103"/>
      <c r="C72" s="103"/>
      <c r="D72" s="163">
        <f>'&lt;BESCHREIBUNG&gt;EINZELSERIEN'!$L$24</f>
        <v>0.17599999999999999</v>
      </c>
      <c r="E72" s="103" t="s">
        <v>85</v>
      </c>
      <c r="F72" s="103"/>
      <c r="G72" s="103">
        <f>(ABS(I95-D70)-((D72*H71)/D74^0.5))</f>
        <v>0.59734582544529491</v>
      </c>
      <c r="H72" s="103"/>
      <c r="I72" s="103"/>
      <c r="J72" s="103"/>
      <c r="K72" s="103"/>
      <c r="L72" s="103"/>
      <c r="M72" s="103"/>
      <c r="N72" s="103"/>
    </row>
    <row r="73" spans="1:14" x14ac:dyDescent="0.3">
      <c r="A73" s="103"/>
      <c r="B73" s="103"/>
      <c r="C73" s="103"/>
      <c r="D73" s="163"/>
      <c r="E73" s="103" t="s">
        <v>86</v>
      </c>
      <c r="F73" s="103"/>
      <c r="G73" s="103">
        <f>ROUND((G71/G72)*100*-1,2)</f>
        <v>-66.849999999999994</v>
      </c>
      <c r="H73" s="103"/>
      <c r="I73" s="103"/>
      <c r="J73" s="103"/>
      <c r="K73" s="103"/>
      <c r="L73" s="103"/>
      <c r="M73" s="103"/>
      <c r="N73" s="103"/>
    </row>
    <row r="74" spans="1:14" x14ac:dyDescent="0.3">
      <c r="A74" s="103" t="s">
        <v>26</v>
      </c>
      <c r="B74" s="103"/>
      <c r="C74" s="103"/>
      <c r="D74" s="163">
        <f>'&lt;BESCHREIBUNG&gt;EINZELSERIEN'!$L$25</f>
        <v>448</v>
      </c>
      <c r="E74" s="103"/>
      <c r="F74" s="103"/>
      <c r="G74" s="103"/>
      <c r="H74" s="103"/>
      <c r="I74" s="103"/>
      <c r="J74" s="103"/>
      <c r="K74" s="103"/>
      <c r="L74" s="103"/>
      <c r="M74" s="103"/>
      <c r="N74" s="103"/>
    </row>
    <row r="75" spans="1:14" x14ac:dyDescent="0.3">
      <c r="A75" s="103"/>
      <c r="B75" s="103"/>
      <c r="C75" s="103"/>
      <c r="D75" s="163"/>
      <c r="E75" s="103"/>
      <c r="F75" s="103"/>
      <c r="G75" s="103"/>
      <c r="H75" s="103"/>
      <c r="I75" s="103"/>
      <c r="J75" s="103"/>
      <c r="K75" s="103"/>
      <c r="L75" s="103"/>
      <c r="M75" s="103"/>
      <c r="N75" s="103"/>
    </row>
    <row r="76" spans="1:14" x14ac:dyDescent="0.3">
      <c r="A76" s="103"/>
      <c r="B76" s="103"/>
      <c r="C76" s="103"/>
      <c r="D76" s="163"/>
      <c r="E76" s="103"/>
      <c r="F76" s="103"/>
      <c r="G76" s="103"/>
      <c r="H76" s="103"/>
      <c r="I76" s="103"/>
      <c r="J76" s="103"/>
      <c r="K76" s="103"/>
      <c r="L76" s="103"/>
      <c r="M76" s="103"/>
      <c r="N76" s="103"/>
    </row>
    <row r="77" spans="1:14" x14ac:dyDescent="0.3">
      <c r="A77" s="159" t="s">
        <v>163</v>
      </c>
      <c r="B77" s="103"/>
      <c r="C77" s="103"/>
      <c r="D77" s="163"/>
      <c r="E77" s="103" t="s">
        <v>88</v>
      </c>
      <c r="F77" s="103"/>
      <c r="G77" s="103"/>
      <c r="H77" s="103"/>
      <c r="I77" s="103"/>
      <c r="J77" s="103"/>
      <c r="K77" s="103"/>
      <c r="L77" s="103"/>
      <c r="M77" s="103"/>
      <c r="N77" s="103"/>
    </row>
    <row r="78" spans="1:14" x14ac:dyDescent="0.3">
      <c r="A78" s="103"/>
      <c r="B78" s="103"/>
      <c r="C78" s="103"/>
      <c r="D78" s="163"/>
      <c r="E78" s="103" t="s">
        <v>84</v>
      </c>
      <c r="F78" s="103"/>
      <c r="G78" s="103">
        <f>(ABS(I96-D70)-((D72*H78)/D74^0.5))</f>
        <v>0.39934582544529473</v>
      </c>
      <c r="H78" s="103">
        <f>'&lt;BESCHREIBUNG&gt; SERIENSUMME'!$E$30</f>
        <v>2.0028547346731704</v>
      </c>
      <c r="I78" s="103"/>
      <c r="J78" s="103"/>
      <c r="K78" s="103"/>
      <c r="L78" s="103"/>
      <c r="M78" s="103"/>
      <c r="N78" s="103"/>
    </row>
    <row r="79" spans="1:14" x14ac:dyDescent="0.3">
      <c r="A79" s="103" t="s">
        <v>27</v>
      </c>
      <c r="B79" s="103"/>
      <c r="C79" s="103"/>
      <c r="D79" s="163">
        <f>'&lt;BESCHREIBUNG&gt; SERIENSUMME'!$L$31</f>
        <v>2.5</v>
      </c>
      <c r="E79" s="174" t="s">
        <v>85</v>
      </c>
      <c r="F79" s="103"/>
      <c r="G79" s="103">
        <f>(ABS(I97-D70)-((D72*H78)/D74^0.5))</f>
        <v>0.59734582544529469</v>
      </c>
      <c r="H79" s="103">
        <f>(('&lt;BESCHREIBUNG&gt; SERIENSUMME'!$E$30)*D72)/(D74^0.5)</f>
        <v>1.6654174554705168E-2</v>
      </c>
      <c r="I79" s="103"/>
      <c r="J79" s="103"/>
      <c r="K79" s="103"/>
      <c r="L79" s="103"/>
      <c r="M79" s="103"/>
      <c r="N79" s="103"/>
    </row>
    <row r="80" spans="1:14" x14ac:dyDescent="0.3">
      <c r="A80" s="103"/>
      <c r="B80" s="103"/>
      <c r="C80" s="103"/>
      <c r="D80" s="163"/>
      <c r="E80" s="103" t="s">
        <v>86</v>
      </c>
      <c r="F80" s="103"/>
      <c r="G80" s="103">
        <f>ROUND((G78/G79)*100,2)</f>
        <v>66.849999999999994</v>
      </c>
      <c r="H80" s="103"/>
      <c r="I80" s="103"/>
      <c r="J80" s="102"/>
      <c r="K80" s="103"/>
      <c r="L80" s="103"/>
      <c r="M80" s="103"/>
      <c r="N80" s="103"/>
    </row>
    <row r="81" spans="1:14" x14ac:dyDescent="0.3">
      <c r="A81" s="103" t="s">
        <v>28</v>
      </c>
      <c r="B81" s="103"/>
      <c r="C81" s="103"/>
      <c r="D81" s="163">
        <f>'&lt;BESCHREIBUNG&gt; SERIENSUMME'!$L$30</f>
        <v>2.5</v>
      </c>
      <c r="E81" s="159"/>
      <c r="F81" s="103"/>
      <c r="G81" s="103"/>
      <c r="H81" s="103" t="s">
        <v>100</v>
      </c>
      <c r="I81" s="103"/>
      <c r="J81" s="103"/>
      <c r="K81" s="103"/>
      <c r="L81" s="103"/>
      <c r="M81" s="103"/>
      <c r="N81" s="103"/>
    </row>
    <row r="82" spans="1:14" x14ac:dyDescent="0.3">
      <c r="A82" s="103"/>
      <c r="B82" s="103"/>
      <c r="C82" s="103"/>
      <c r="D82" s="163"/>
      <c r="E82" s="103"/>
      <c r="F82" s="103"/>
      <c r="G82" s="103"/>
      <c r="H82" s="103"/>
      <c r="I82" s="103"/>
      <c r="J82" s="103"/>
      <c r="K82" s="103"/>
      <c r="L82" s="103"/>
      <c r="M82" s="103"/>
      <c r="N82" s="103"/>
    </row>
    <row r="83" spans="1:14" x14ac:dyDescent="0.3">
      <c r="A83" s="103"/>
      <c r="B83" s="103"/>
      <c r="C83" s="103"/>
      <c r="D83" s="163"/>
      <c r="E83" s="103" t="s">
        <v>62</v>
      </c>
      <c r="F83" s="103"/>
      <c r="G83" s="103" t="s">
        <v>69</v>
      </c>
      <c r="H83" s="104">
        <f>((D70-H79)-(((D70-I94))))</f>
        <v>1.6063458254452947</v>
      </c>
      <c r="I83" s="103"/>
      <c r="J83" s="103"/>
      <c r="K83" s="103"/>
      <c r="L83" s="103"/>
      <c r="M83" s="103"/>
      <c r="N83" s="103"/>
    </row>
    <row r="84" spans="1:14" x14ac:dyDescent="0.3">
      <c r="A84" s="103"/>
      <c r="B84" s="159" t="s">
        <v>70</v>
      </c>
      <c r="C84" s="103"/>
      <c r="D84" s="163"/>
      <c r="E84" s="103"/>
      <c r="F84" s="103"/>
      <c r="G84" s="103"/>
      <c r="H84" s="163"/>
      <c r="I84" s="103"/>
      <c r="J84" s="103"/>
      <c r="K84" s="103"/>
      <c r="L84" s="103"/>
      <c r="M84" s="103"/>
      <c r="N84" s="103"/>
    </row>
    <row r="85" spans="1:14" x14ac:dyDescent="0.3">
      <c r="A85" s="103"/>
      <c r="B85" s="103"/>
      <c r="C85" s="103"/>
      <c r="D85" s="163"/>
      <c r="E85" s="103" t="s">
        <v>63</v>
      </c>
      <c r="F85" s="103"/>
      <c r="G85" s="103" t="s">
        <v>69</v>
      </c>
      <c r="H85" s="104">
        <f>((D70+H79)+(((I96-D70))))</f>
        <v>2.4716541745547054</v>
      </c>
      <c r="I85" s="103"/>
      <c r="J85" s="103"/>
      <c r="K85" s="103"/>
      <c r="L85" s="103"/>
      <c r="M85" s="103"/>
      <c r="N85" s="103"/>
    </row>
    <row r="86" spans="1:14" x14ac:dyDescent="0.3">
      <c r="A86" s="103" t="s">
        <v>62</v>
      </c>
      <c r="B86" s="103"/>
      <c r="C86" s="103"/>
      <c r="D86" s="163">
        <v>-5</v>
      </c>
      <c r="E86" s="159"/>
      <c r="F86" s="103"/>
      <c r="G86" s="103"/>
      <c r="H86" s="103"/>
      <c r="I86" s="103"/>
      <c r="J86" s="103"/>
      <c r="K86" s="103"/>
      <c r="L86" s="103"/>
      <c r="M86" s="103"/>
      <c r="N86" s="103"/>
    </row>
    <row r="87" spans="1:14" x14ac:dyDescent="0.3">
      <c r="A87" s="103"/>
      <c r="B87" s="103"/>
      <c r="C87" s="103"/>
      <c r="D87" s="163"/>
      <c r="E87" s="103" t="s">
        <v>89</v>
      </c>
      <c r="F87" s="103"/>
      <c r="G87" s="103" t="s">
        <v>90</v>
      </c>
      <c r="H87" s="104">
        <f>((D70-H79)-(((D70-I95))))</f>
        <v>1.4083458254452947</v>
      </c>
      <c r="I87" s="103"/>
      <c r="J87" s="103"/>
      <c r="K87" s="103"/>
      <c r="L87" s="103"/>
      <c r="M87" s="103"/>
      <c r="N87" s="103"/>
    </row>
    <row r="88" spans="1:14" x14ac:dyDescent="0.3">
      <c r="A88" s="103" t="s">
        <v>63</v>
      </c>
      <c r="B88" s="103"/>
      <c r="C88" s="103"/>
      <c r="D88" s="163">
        <v>-5</v>
      </c>
      <c r="E88" s="159"/>
      <c r="F88" s="103"/>
      <c r="G88" s="103"/>
      <c r="H88" s="104"/>
      <c r="I88" s="103"/>
      <c r="J88" s="103"/>
      <c r="K88" s="103"/>
      <c r="L88" s="103"/>
      <c r="M88" s="103"/>
      <c r="N88" s="103"/>
    </row>
    <row r="89" spans="1:14" ht="21" x14ac:dyDescent="0.4">
      <c r="A89" s="103"/>
      <c r="B89" s="103"/>
      <c r="C89" s="103"/>
      <c r="D89" s="103"/>
      <c r="E89" s="103" t="s">
        <v>91</v>
      </c>
      <c r="F89" s="103"/>
      <c r="G89" s="103" t="s">
        <v>90</v>
      </c>
      <c r="H89" s="104">
        <f>(D70+H79)+(((D70-I95)))</f>
        <v>2.6696541745547053</v>
      </c>
      <c r="I89" s="103"/>
      <c r="J89" s="175"/>
      <c r="K89" s="103"/>
      <c r="L89" s="103"/>
      <c r="M89" s="103"/>
      <c r="N89" s="103"/>
    </row>
    <row r="90" spans="1:14" x14ac:dyDescent="0.3">
      <c r="A90" s="103"/>
      <c r="B90" s="103"/>
      <c r="C90" s="103"/>
      <c r="D90" s="103"/>
      <c r="E90" s="103"/>
      <c r="F90" s="103"/>
      <c r="G90" s="103"/>
      <c r="H90" s="103"/>
      <c r="I90" s="103"/>
      <c r="J90" s="159"/>
      <c r="K90" s="103"/>
      <c r="L90" s="103"/>
      <c r="M90" s="103"/>
      <c r="N90" s="103"/>
    </row>
    <row r="91" spans="1:14" x14ac:dyDescent="0.3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</row>
    <row r="92" spans="1:14" x14ac:dyDescent="0.3">
      <c r="A92" s="168" t="s">
        <v>29</v>
      </c>
      <c r="B92" s="169"/>
      <c r="C92" s="169"/>
      <c r="D92" s="169"/>
      <c r="E92" s="169"/>
      <c r="F92" s="170"/>
      <c r="G92" s="170" t="s">
        <v>30</v>
      </c>
      <c r="H92" s="170" t="s">
        <v>31</v>
      </c>
      <c r="I92" s="170" t="s">
        <v>76</v>
      </c>
      <c r="J92" s="170"/>
      <c r="K92" s="163"/>
      <c r="L92" s="103"/>
      <c r="M92" s="103"/>
      <c r="N92" s="103"/>
    </row>
    <row r="93" spans="1:14" x14ac:dyDescent="0.3">
      <c r="A93" s="103"/>
      <c r="B93" s="103"/>
      <c r="C93" s="103"/>
      <c r="D93" s="103"/>
      <c r="E93" s="103"/>
      <c r="F93" s="103"/>
      <c r="G93" s="103"/>
      <c r="H93" s="103"/>
      <c r="I93" s="103"/>
      <c r="J93" s="170"/>
      <c r="K93" s="163"/>
      <c r="L93" s="103"/>
      <c r="M93" s="103"/>
      <c r="N93" s="103"/>
    </row>
    <row r="94" spans="1:14" x14ac:dyDescent="0.3">
      <c r="A94" s="103" t="s">
        <v>32</v>
      </c>
      <c r="B94" s="103"/>
      <c r="C94" s="103" t="s">
        <v>71</v>
      </c>
      <c r="D94" s="103"/>
      <c r="E94" s="103"/>
      <c r="F94" s="170"/>
      <c r="G94" s="170">
        <f>ROUND((D70-D72*(2.71828183^(LN(G120)-(G116)*2.71828183^(G118*LN(100/D79))))),3)</f>
        <v>1.6279999999999999</v>
      </c>
      <c r="H94" s="170">
        <f>ROUND((D70-D72*(2.71828183^(LN(H120)-(H116)*2.71828183^(H118*LN(100/D79))))),3)</f>
        <v>1.623</v>
      </c>
      <c r="I94" s="170">
        <f>IF(F15=90,G94,H94)</f>
        <v>1.623</v>
      </c>
      <c r="J94" s="170"/>
      <c r="K94" s="163"/>
      <c r="L94" s="103"/>
      <c r="M94" s="103"/>
      <c r="N94" s="103"/>
    </row>
    <row r="95" spans="1:14" x14ac:dyDescent="0.3">
      <c r="A95" s="103"/>
      <c r="B95" s="103"/>
      <c r="C95" s="103"/>
      <c r="D95" s="103"/>
      <c r="E95" s="103"/>
      <c r="F95" s="168" t="s">
        <v>68</v>
      </c>
      <c r="G95" s="170">
        <f>ROUND((D70-D72*(2.71828183^(LN(G120)-(G116)*2.71828183^(G118*LN(100/0.1))))),3)</f>
        <v>1.4330000000000001</v>
      </c>
      <c r="H95" s="170">
        <f>ROUND((D70-D72*(2.71828183^(LN(H120)-(H116)*2.71828183^(H118*LN(100/0.1))))),3)</f>
        <v>1.425</v>
      </c>
      <c r="I95" s="170">
        <f>IF(F15=90,G95,H95)</f>
        <v>1.425</v>
      </c>
      <c r="J95" s="170"/>
      <c r="K95" s="163"/>
      <c r="L95" s="103"/>
      <c r="M95" s="103"/>
      <c r="N95" s="103"/>
    </row>
    <row r="96" spans="1:14" x14ac:dyDescent="0.3">
      <c r="A96" s="103" t="s">
        <v>33</v>
      </c>
      <c r="B96" s="103"/>
      <c r="C96" s="103" t="s">
        <v>71</v>
      </c>
      <c r="D96" s="103"/>
      <c r="E96" s="103"/>
      <c r="F96" s="168"/>
      <c r="G96" s="170">
        <f>ROUND((D70+D72*(2.71828183^(LN(G120)-(G116)*2.71828183^(G118*LN(100/D81))))),3)</f>
        <v>2.4500000000000002</v>
      </c>
      <c r="H96" s="170">
        <f>ROUND((D70+D72*(2.71828183^(LN(H120)-(H116)*2.71828183^(H118*LN(100/D81))))),3)</f>
        <v>2.4550000000000001</v>
      </c>
      <c r="I96" s="170">
        <f>IF(F15=90,G96,H96)</f>
        <v>2.4550000000000001</v>
      </c>
      <c r="J96" s="170"/>
      <c r="K96" s="163"/>
      <c r="L96" s="103"/>
      <c r="M96" s="103"/>
      <c r="N96" s="103"/>
    </row>
    <row r="97" spans="1:14" x14ac:dyDescent="0.3">
      <c r="A97" s="103"/>
      <c r="B97" s="103"/>
      <c r="C97" s="103"/>
      <c r="D97" s="103"/>
      <c r="E97" s="103"/>
      <c r="F97" s="168" t="s">
        <v>68</v>
      </c>
      <c r="G97" s="170">
        <f>ROUND((D70+D72*(2.71828183^(LN(G120)-(G116)*2.71828183^(G118*LN(100/0.1))))),3)</f>
        <v>2.645</v>
      </c>
      <c r="H97" s="170">
        <f>ROUND((D70+D72*(2.71828183^(LN(H120)-(H116)*2.71828183^(H118*LN(100/0.1))))),3)</f>
        <v>2.653</v>
      </c>
      <c r="I97" s="170">
        <f>IF(F15=90,G97,H97)</f>
        <v>2.653</v>
      </c>
      <c r="J97" s="170"/>
      <c r="K97" s="163"/>
      <c r="L97" s="103"/>
      <c r="M97" s="103"/>
      <c r="N97" s="103"/>
    </row>
    <row r="98" spans="1:14" x14ac:dyDescent="0.3">
      <c r="A98" s="103" t="s">
        <v>64</v>
      </c>
      <c r="B98" s="103"/>
      <c r="C98" s="163"/>
      <c r="D98" s="103"/>
      <c r="E98" s="103"/>
      <c r="F98" s="168"/>
      <c r="G98" s="176" t="e">
        <f>ROUND((((2.71828183^((LN((LN(G120)-(LN(ABS(D70-D86)/D72)))/(G116)))/(G118)))^-1)*100),2)</f>
        <v>#NUM!</v>
      </c>
      <c r="H98" s="176" t="e">
        <f>ROUND((((2.71828183^((LN((LN(H120)-(LN(ABS(D70-D86)/D72)))/(H116)))/(H118)))^-1)*100),2)</f>
        <v>#NUM!</v>
      </c>
      <c r="I98" s="170"/>
      <c r="J98" s="170"/>
      <c r="K98" s="163"/>
      <c r="L98" s="103"/>
      <c r="M98" s="103"/>
      <c r="N98" s="103"/>
    </row>
    <row r="99" spans="1:14" x14ac:dyDescent="0.3">
      <c r="A99" s="103"/>
      <c r="B99" s="103"/>
      <c r="C99" s="103"/>
      <c r="D99" s="103"/>
      <c r="E99" s="103"/>
      <c r="F99" s="168"/>
      <c r="G99" s="176"/>
      <c r="H99" s="176"/>
      <c r="I99" s="170"/>
      <c r="J99" s="103"/>
      <c r="K99" s="103"/>
      <c r="L99" s="103"/>
      <c r="M99" s="103"/>
      <c r="N99" s="103"/>
    </row>
    <row r="100" spans="1:14" x14ac:dyDescent="0.3">
      <c r="A100" s="103" t="s">
        <v>65</v>
      </c>
      <c r="B100" s="103"/>
      <c r="C100" s="103"/>
      <c r="D100" s="103"/>
      <c r="E100" s="103"/>
      <c r="F100" s="168"/>
      <c r="G100" s="176" t="e">
        <f>ROUND((((2.71828183^((LN((LN(G120)-(LN(ABS(D70-D88)/D72)))/(G116)))/(G118)))^-1)*100),2)</f>
        <v>#NUM!</v>
      </c>
      <c r="H100" s="176" t="e">
        <f>ROUND((((2.71828183^((LN((LN(H120)-(LN(ABS(D70-D88)/D72)))/(H116)))/(H118)))^-1)*100),2)</f>
        <v>#NUM!</v>
      </c>
      <c r="I100" s="170"/>
      <c r="J100" s="103"/>
      <c r="K100" s="103"/>
      <c r="L100" s="103"/>
      <c r="M100" s="103"/>
      <c r="N100" s="103"/>
    </row>
    <row r="101" spans="1:14" x14ac:dyDescent="0.3">
      <c r="A101" s="103"/>
      <c r="B101" s="103"/>
      <c r="C101" s="103"/>
      <c r="D101" s="103"/>
      <c r="E101" s="103"/>
      <c r="F101" s="177"/>
      <c r="G101" s="103"/>
      <c r="H101" s="103"/>
      <c r="I101" s="103"/>
      <c r="J101" s="103"/>
      <c r="K101" s="103"/>
      <c r="L101" s="103"/>
      <c r="M101" s="103"/>
      <c r="N101" s="103"/>
    </row>
    <row r="102" spans="1:14" x14ac:dyDescent="0.3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</row>
    <row r="103" spans="1:14" ht="15.6" x14ac:dyDescent="0.3">
      <c r="A103" s="103"/>
      <c r="B103" s="103"/>
      <c r="C103" s="103"/>
      <c r="D103" s="103"/>
      <c r="E103" s="103"/>
      <c r="F103" s="103"/>
      <c r="G103" s="103"/>
      <c r="H103" s="103"/>
      <c r="I103" s="103"/>
      <c r="J103" s="158"/>
      <c r="K103" s="159"/>
      <c r="L103" s="159"/>
      <c r="M103" s="103"/>
      <c r="N103" s="103"/>
    </row>
    <row r="104" spans="1:14" ht="15.6" x14ac:dyDescent="0.3">
      <c r="A104" s="103" t="s">
        <v>34</v>
      </c>
      <c r="B104" s="103" t="s">
        <v>35</v>
      </c>
      <c r="C104" s="103"/>
      <c r="D104" s="103"/>
      <c r="E104" s="103"/>
      <c r="F104" s="103"/>
      <c r="G104" s="163">
        <v>0.356929</v>
      </c>
      <c r="H104" s="163">
        <v>0.44659900000000002</v>
      </c>
      <c r="I104" s="103"/>
      <c r="J104" s="158"/>
      <c r="K104" s="159"/>
      <c r="L104" s="159"/>
      <c r="M104" s="103"/>
      <c r="N104" s="103"/>
    </row>
    <row r="105" spans="1:14" ht="15.6" x14ac:dyDescent="0.3">
      <c r="A105" s="103"/>
      <c r="B105" s="103" t="s">
        <v>36</v>
      </c>
      <c r="C105" s="103"/>
      <c r="D105" s="103"/>
      <c r="E105" s="103"/>
      <c r="F105" s="103"/>
      <c r="G105" s="163">
        <v>-1.153783</v>
      </c>
      <c r="H105" s="163">
        <v>-1.1646840000000001</v>
      </c>
      <c r="I105" s="103"/>
      <c r="J105" s="158"/>
      <c r="K105" s="159"/>
      <c r="L105" s="159"/>
      <c r="M105" s="103"/>
      <c r="N105" s="103"/>
    </row>
    <row r="106" spans="1:14" x14ac:dyDescent="0.3">
      <c r="A106" s="103"/>
      <c r="B106" s="103" t="s">
        <v>37</v>
      </c>
      <c r="C106" s="103"/>
      <c r="D106" s="103"/>
      <c r="E106" s="103"/>
      <c r="F106" s="103"/>
      <c r="G106" s="163">
        <v>58.665999999999997</v>
      </c>
      <c r="H106" s="163">
        <v>58.713500000000003</v>
      </c>
      <c r="I106" s="103"/>
      <c r="J106" s="103"/>
      <c r="K106" s="103"/>
      <c r="L106" s="103"/>
      <c r="M106" s="103"/>
      <c r="N106" s="103"/>
    </row>
    <row r="107" spans="1:14" x14ac:dyDescent="0.3">
      <c r="A107" s="103"/>
      <c r="B107" s="103"/>
      <c r="C107" s="103"/>
      <c r="D107" s="103"/>
      <c r="E107" s="103"/>
      <c r="F107" s="103"/>
      <c r="G107" s="163"/>
      <c r="H107" s="163"/>
      <c r="I107" s="103"/>
      <c r="J107" s="103"/>
      <c r="K107" s="103"/>
      <c r="L107" s="103"/>
      <c r="M107" s="103"/>
      <c r="N107" s="103"/>
    </row>
    <row r="108" spans="1:14" x14ac:dyDescent="0.3">
      <c r="A108" s="103"/>
      <c r="B108" s="103" t="s">
        <v>38</v>
      </c>
      <c r="C108" s="103"/>
      <c r="D108" s="103"/>
      <c r="E108" s="103"/>
      <c r="F108" s="103"/>
      <c r="G108" s="163"/>
      <c r="H108" s="163"/>
      <c r="I108" s="103"/>
      <c r="J108" s="103"/>
      <c r="K108" s="103"/>
      <c r="L108" s="103"/>
      <c r="M108" s="103"/>
      <c r="N108" s="103"/>
    </row>
    <row r="109" spans="1:14" x14ac:dyDescent="0.3">
      <c r="A109" s="103"/>
      <c r="B109" s="103" t="s">
        <v>39</v>
      </c>
      <c r="C109" s="103"/>
      <c r="D109" s="103"/>
      <c r="E109" s="103"/>
      <c r="F109" s="103"/>
      <c r="G109" s="163"/>
      <c r="H109" s="163"/>
      <c r="I109" s="103"/>
      <c r="J109" s="103"/>
      <c r="K109" s="103"/>
      <c r="L109" s="103"/>
      <c r="M109" s="103"/>
      <c r="N109" s="103"/>
    </row>
    <row r="110" spans="1:14" x14ac:dyDescent="0.3">
      <c r="A110" s="103"/>
      <c r="B110" s="103" t="s">
        <v>40</v>
      </c>
      <c r="C110" s="103"/>
      <c r="D110" s="103"/>
      <c r="E110" s="103"/>
      <c r="F110" s="103"/>
      <c r="G110" s="163"/>
      <c r="H110" s="163"/>
      <c r="I110" s="103"/>
      <c r="J110" s="103"/>
      <c r="K110" s="103"/>
      <c r="L110" s="103"/>
      <c r="M110" s="103"/>
      <c r="N110" s="103"/>
    </row>
    <row r="111" spans="1:14" x14ac:dyDescent="0.3">
      <c r="A111" s="103"/>
      <c r="B111" s="103"/>
      <c r="C111" s="103"/>
      <c r="D111" s="103"/>
      <c r="E111" s="103"/>
      <c r="F111" s="103"/>
      <c r="G111" s="163"/>
      <c r="H111" s="163"/>
      <c r="I111" s="103"/>
      <c r="J111" s="103"/>
      <c r="K111" s="103"/>
      <c r="L111" s="103"/>
      <c r="M111" s="103"/>
      <c r="N111" s="103"/>
    </row>
    <row r="112" spans="1:14" x14ac:dyDescent="0.3">
      <c r="A112" s="103"/>
      <c r="B112" s="103" t="s">
        <v>41</v>
      </c>
      <c r="C112" s="103"/>
      <c r="D112" s="103"/>
      <c r="E112" s="103"/>
      <c r="F112" s="103"/>
      <c r="G112" s="163">
        <v>1.796149</v>
      </c>
      <c r="H112" s="163">
        <v>2.3636879999999998</v>
      </c>
      <c r="I112" s="103"/>
      <c r="J112" s="103"/>
      <c r="K112" s="103"/>
      <c r="L112" s="103"/>
      <c r="M112" s="103"/>
      <c r="N112" s="103"/>
    </row>
    <row r="113" spans="1:14" x14ac:dyDescent="0.3">
      <c r="A113" s="103"/>
      <c r="B113" s="103" t="s">
        <v>42</v>
      </c>
      <c r="C113" s="103"/>
      <c r="D113" s="103"/>
      <c r="E113" s="103"/>
      <c r="F113" s="103"/>
      <c r="G113" s="163">
        <v>-0.64917499999999995</v>
      </c>
      <c r="H113" s="163">
        <v>-0.664821</v>
      </c>
      <c r="I113" s="103"/>
      <c r="J113" s="103"/>
      <c r="K113" s="103"/>
      <c r="L113" s="103"/>
      <c r="M113" s="103"/>
      <c r="N113" s="103"/>
    </row>
    <row r="114" spans="1:14" x14ac:dyDescent="0.3">
      <c r="A114" s="103"/>
      <c r="B114" s="103" t="s">
        <v>43</v>
      </c>
      <c r="C114" s="103"/>
      <c r="D114" s="103"/>
      <c r="E114" s="103"/>
      <c r="F114" s="103"/>
      <c r="G114" s="163">
        <v>22.5185</v>
      </c>
      <c r="H114" s="163">
        <v>22.381779999999999</v>
      </c>
      <c r="I114" s="103"/>
      <c r="J114" s="103"/>
      <c r="K114" s="103"/>
      <c r="L114" s="103"/>
      <c r="M114" s="103"/>
      <c r="N114" s="103"/>
    </row>
    <row r="115" spans="1:14" x14ac:dyDescent="0.3">
      <c r="A115" s="103"/>
      <c r="B115" s="103"/>
      <c r="C115" s="103"/>
      <c r="D115" s="103"/>
      <c r="E115" s="103"/>
      <c r="F115" s="103"/>
      <c r="G115" s="163"/>
      <c r="H115" s="163"/>
      <c r="I115" s="103"/>
      <c r="J115" s="103"/>
      <c r="K115" s="103"/>
      <c r="L115" s="103"/>
      <c r="M115" s="103"/>
      <c r="N115" s="103"/>
    </row>
    <row r="116" spans="1:14" x14ac:dyDescent="0.3">
      <c r="A116" s="103" t="s">
        <v>72</v>
      </c>
      <c r="B116" s="103"/>
      <c r="C116" s="103"/>
      <c r="D116" s="103"/>
      <c r="E116" s="103"/>
      <c r="F116" s="103"/>
      <c r="G116" s="104">
        <f>((2.71828183^((G106-2.71828183^(LN(G106)-(G104*(2.71828183^(-G105*LN(D74))))))/100)))</f>
        <v>1.7979731457816306</v>
      </c>
      <c r="H116" s="104">
        <f>((2.71828183^((H106-2.71828183^(LN(H106)-(H104*(2.71828183^(-H105*LN(D74))))))/100)))</f>
        <v>1.7988273858923263</v>
      </c>
      <c r="I116" s="103"/>
      <c r="J116" s="103"/>
      <c r="K116" s="103"/>
      <c r="L116" s="103"/>
      <c r="M116" s="103"/>
      <c r="N116" s="103"/>
    </row>
    <row r="117" spans="1:14" x14ac:dyDescent="0.3">
      <c r="A117" s="103"/>
      <c r="B117" s="103"/>
      <c r="C117" s="103"/>
      <c r="D117" s="103"/>
      <c r="E117" s="103"/>
      <c r="F117" s="103"/>
      <c r="G117" s="163"/>
      <c r="H117" s="163"/>
      <c r="I117" s="103"/>
      <c r="J117" s="103"/>
      <c r="K117" s="103"/>
      <c r="L117" s="103"/>
      <c r="M117" s="103"/>
      <c r="N117" s="103"/>
    </row>
    <row r="118" spans="1:14" x14ac:dyDescent="0.3">
      <c r="A118" s="103"/>
      <c r="B118" s="103"/>
      <c r="C118" s="103"/>
      <c r="D118" s="103" t="s">
        <v>45</v>
      </c>
      <c r="E118" s="103"/>
      <c r="F118" s="103"/>
      <c r="G118" s="104">
        <v>-0.26500000000000001</v>
      </c>
      <c r="H118" s="104">
        <v>-0.26500000000000001</v>
      </c>
      <c r="I118" s="103"/>
      <c r="J118" s="103"/>
      <c r="K118" s="103"/>
      <c r="L118" s="103"/>
      <c r="M118" s="103"/>
      <c r="N118" s="103"/>
    </row>
    <row r="119" spans="1:14" x14ac:dyDescent="0.3">
      <c r="A119" s="103"/>
      <c r="B119" s="103"/>
      <c r="C119" s="103"/>
      <c r="D119" s="103"/>
      <c r="E119" s="103"/>
      <c r="F119" s="103"/>
      <c r="G119" s="163"/>
      <c r="H119" s="163"/>
      <c r="I119" s="103"/>
      <c r="J119" s="103"/>
      <c r="K119" s="103"/>
      <c r="L119" s="103"/>
      <c r="M119" s="103"/>
      <c r="N119" s="103"/>
    </row>
    <row r="120" spans="1:14" x14ac:dyDescent="0.3">
      <c r="A120" s="103"/>
      <c r="B120" s="103"/>
      <c r="C120" s="103"/>
      <c r="D120" s="103" t="s">
        <v>46</v>
      </c>
      <c r="E120" s="103"/>
      <c r="F120" s="103"/>
      <c r="G120" s="104">
        <f>((2.71828183^(LN(G114)-G112*2.71828183^(G113*LN(D74))))^-1)*100</f>
        <v>4.5949961402485204</v>
      </c>
      <c r="H120" s="104">
        <f>((2.71828183^(LN(H114)-H112*2.71828183^(H113*LN(D74))))^-1)*100</f>
        <v>4.6541141092756391</v>
      </c>
      <c r="I120" s="103"/>
      <c r="J120" s="103"/>
      <c r="K120" s="103"/>
      <c r="L120" s="103"/>
      <c r="M120" s="103"/>
      <c r="N120" s="103"/>
    </row>
    <row r="121" spans="1:14" x14ac:dyDescent="0.3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</row>
    <row r="122" spans="1:14" x14ac:dyDescent="0.3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</row>
    <row r="123" spans="1:14" x14ac:dyDescent="0.3">
      <c r="A123" s="103" t="s">
        <v>74</v>
      </c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</row>
    <row r="124" spans="1:14" x14ac:dyDescent="0.3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</row>
    <row r="125" spans="1:14" x14ac:dyDescent="0.3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</row>
    <row r="126" spans="1:14" x14ac:dyDescent="0.3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</row>
    <row r="127" spans="1:14" x14ac:dyDescent="0.3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</row>
    <row r="128" spans="1:14" x14ac:dyDescent="0.3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</row>
    <row r="129" spans="1:14" x14ac:dyDescent="0.3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</row>
    <row r="130" spans="1:14" x14ac:dyDescent="0.3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</row>
    <row r="131" spans="1:14" x14ac:dyDescent="0.3">
      <c r="A131" s="163" t="s">
        <v>130</v>
      </c>
      <c r="B131" s="289" t="s">
        <v>128</v>
      </c>
      <c r="C131" s="289"/>
      <c r="D131" s="289" t="s">
        <v>129</v>
      </c>
      <c r="E131" s="289"/>
      <c r="F131" s="178" t="s">
        <v>92</v>
      </c>
      <c r="G131" s="163" t="s">
        <v>92</v>
      </c>
      <c r="H131" s="163" t="s">
        <v>150</v>
      </c>
      <c r="I131" s="163" t="s">
        <v>150</v>
      </c>
      <c r="J131" s="179" t="s">
        <v>94</v>
      </c>
      <c r="K131" s="163" t="s">
        <v>95</v>
      </c>
      <c r="L131" s="163" t="s">
        <v>94</v>
      </c>
      <c r="M131" s="163" t="s">
        <v>95</v>
      </c>
      <c r="N131" s="103"/>
    </row>
    <row r="132" spans="1:14" x14ac:dyDescent="0.3">
      <c r="A132" s="163"/>
      <c r="B132" s="163" t="s">
        <v>96</v>
      </c>
      <c r="C132" s="163" t="s">
        <v>97</v>
      </c>
      <c r="D132" s="163" t="s">
        <v>96</v>
      </c>
      <c r="E132" s="163" t="s">
        <v>97</v>
      </c>
      <c r="F132" s="163" t="s">
        <v>93</v>
      </c>
      <c r="G132" s="163" t="s">
        <v>164</v>
      </c>
      <c r="H132" s="163" t="s">
        <v>93</v>
      </c>
      <c r="I132" s="178" t="s">
        <v>123</v>
      </c>
      <c r="J132" s="179" t="s">
        <v>131</v>
      </c>
      <c r="K132" s="178" t="s">
        <v>124</v>
      </c>
      <c r="L132" s="163" t="s">
        <v>125</v>
      </c>
      <c r="M132" s="163" t="s">
        <v>126</v>
      </c>
      <c r="N132" s="103"/>
    </row>
    <row r="133" spans="1:14" x14ac:dyDescent="0.3">
      <c r="A133" s="163">
        <f>'&lt;KLEIN - STICHPROBEN&gt;'!$B$46</f>
        <v>11</v>
      </c>
      <c r="B133" s="163">
        <f>IF((F133)&lt;50,0,(J133*100)/(F133+G133))*-1</f>
        <v>0</v>
      </c>
      <c r="C133" s="163">
        <f>IF((F133)&lt;50,0,(K133*100)/(F133+G133))*-1</f>
        <v>0</v>
      </c>
      <c r="D133" s="163">
        <f>IF(G133&lt;50,0,(L133*100)/(F133+G133))</f>
        <v>0</v>
      </c>
      <c r="E133" s="163">
        <f>IF(G133&lt;50,0,(M133*100)/(F133+G133))</f>
        <v>0</v>
      </c>
      <c r="F133" s="163">
        <f>'&lt;KLEIN - STICHPROBEN&gt;'!$B$42</f>
        <v>6</v>
      </c>
      <c r="G133" s="163">
        <f>'&lt;KLEIN - STICHPROBEN&gt;'!$B$41</f>
        <v>5</v>
      </c>
      <c r="H133" s="163">
        <f>'&lt;KLEIN - STICHPROBEN&gt;'!$B$49</f>
        <v>0</v>
      </c>
      <c r="I133" s="163">
        <f>'&lt;KLEIN - STICHPROBEN&gt;'!$B$48</f>
        <v>0</v>
      </c>
      <c r="J133" s="163">
        <f>(IF(H133=0,0,2.71828183^(((LN(6.401))-(6.412935*2.71828183^(-0.302203*(H133)))))))</f>
        <v>0</v>
      </c>
      <c r="K133" s="180">
        <f>(2.71828183^(((LN(25.162))-(1.823886*2.71828183^(-0.173043*(H133))))))</f>
        <v>4.0610798888559172</v>
      </c>
      <c r="L133" s="163">
        <f>IF(I133=0,0,(2.71828183^(((LN(6.401))-(6.412935*2.71828183^(-0.302203*I133))))))</f>
        <v>0</v>
      </c>
      <c r="M133" s="163">
        <f>(2.71828183^(((LN(25.162))-(1.823886*2.71828183^(-0.173043*I133)))))</f>
        <v>4.0610798888559172</v>
      </c>
      <c r="N133" s="103"/>
    </row>
    <row r="134" spans="1:14" x14ac:dyDescent="0.3">
      <c r="A134" s="163">
        <f>'&lt;KLEIN - STICHPROBEN&gt;'!$C$46</f>
        <v>24</v>
      </c>
      <c r="B134" s="163">
        <f t="shared" ref="B134:B150" si="0">IF((F134)&lt;50,0,(J134*100)/(F134+G134))*-1</f>
        <v>0</v>
      </c>
      <c r="C134" s="163">
        <f t="shared" ref="C134:C150" si="1">IF((F134)&lt;50,0,(K134*100)/(F134+G134))*-1</f>
        <v>0</v>
      </c>
      <c r="D134" s="163">
        <f t="shared" ref="D134:D150" si="2">IF(G134&lt;50,0,(L134*100)/(F134+G134))</f>
        <v>0</v>
      </c>
      <c r="E134" s="163">
        <f t="shared" ref="E134:E150" si="3">IF(G134&lt;50,0,(M134*100)/(F134+G134))</f>
        <v>0</v>
      </c>
      <c r="F134" s="163">
        <f>'&lt;KLEIN - STICHPROBEN&gt;'!$C$42</f>
        <v>14</v>
      </c>
      <c r="G134" s="163">
        <f>'&lt;KLEIN - STICHPROBEN&gt;'!$C$41</f>
        <v>10</v>
      </c>
      <c r="H134" s="163">
        <f>'&lt;KLEIN - STICHPROBEN&gt;'!$C$49</f>
        <v>0</v>
      </c>
      <c r="I134" s="163">
        <f>'&lt;KLEIN - STICHPROBEN&gt;'!$C$48</f>
        <v>0</v>
      </c>
      <c r="J134" s="179">
        <f t="shared" ref="J134:J150" si="4">(IF(H134=0,0,2.71828183^(((LN(6.401))-(6.412935*2.71828183^(-0.302203*(H134)))))))</f>
        <v>0</v>
      </c>
      <c r="K134" s="163">
        <f t="shared" ref="K134:K150" si="5">(2.71828183^(((LN(25.162))-(1.823886*2.71828183^(-0.173043*(H134))))))</f>
        <v>4.0610798888559172</v>
      </c>
      <c r="L134" s="163">
        <f t="shared" ref="L134:L150" si="6">IF(I134=0,0,(2.71828183^(((LN(6.401))-(6.412935*2.71828183^(-0.302203*I134))))))</f>
        <v>0</v>
      </c>
      <c r="M134" s="163">
        <f t="shared" ref="M134:M150" si="7">(2.71828183^(((LN(25.162))-(1.823886*2.71828183^(-0.173043*I134)))))</f>
        <v>4.0610798888559172</v>
      </c>
      <c r="N134" s="103"/>
    </row>
    <row r="135" spans="1:14" x14ac:dyDescent="0.3">
      <c r="A135" s="163">
        <f>'&lt;KLEIN - STICHPROBEN&gt;'!$D$46</f>
        <v>39</v>
      </c>
      <c r="B135" s="163">
        <f t="shared" si="0"/>
        <v>0</v>
      </c>
      <c r="C135" s="163">
        <f t="shared" si="1"/>
        <v>0</v>
      </c>
      <c r="D135" s="163">
        <f t="shared" si="2"/>
        <v>0</v>
      </c>
      <c r="E135" s="163">
        <f t="shared" si="3"/>
        <v>0</v>
      </c>
      <c r="F135" s="163">
        <f>'&lt;KLEIN - STICHPROBEN&gt;'!$D$42</f>
        <v>16</v>
      </c>
      <c r="G135" s="163">
        <f>'&lt;KLEIN - STICHPROBEN&gt;'!$D$41</f>
        <v>23</v>
      </c>
      <c r="H135" s="163">
        <f>'&lt;KLEIN - STICHPROBEN&gt;'!$D$49</f>
        <v>0</v>
      </c>
      <c r="I135" s="163">
        <f>'&lt;KLEIN - STICHPROBEN&gt;'!$D$48</f>
        <v>1</v>
      </c>
      <c r="J135" s="179">
        <f t="shared" si="4"/>
        <v>0</v>
      </c>
      <c r="K135" s="163">
        <f t="shared" si="5"/>
        <v>4.0610798888559172</v>
      </c>
      <c r="L135" s="163">
        <f t="shared" si="6"/>
        <v>5.5915685766016479E-2</v>
      </c>
      <c r="M135" s="163">
        <f t="shared" si="7"/>
        <v>5.4263231473298887</v>
      </c>
      <c r="N135" s="103"/>
    </row>
    <row r="136" spans="1:14" x14ac:dyDescent="0.3">
      <c r="A136" s="163">
        <f>'&lt;KLEIN - STICHPROBEN&gt;'!$E$46</f>
        <v>52</v>
      </c>
      <c r="B136" s="163">
        <f t="shared" si="0"/>
        <v>0</v>
      </c>
      <c r="C136" s="163">
        <f t="shared" si="1"/>
        <v>0</v>
      </c>
      <c r="D136" s="163">
        <f t="shared" si="2"/>
        <v>0</v>
      </c>
      <c r="E136" s="163">
        <f t="shared" si="3"/>
        <v>0</v>
      </c>
      <c r="F136" s="163">
        <f>'&lt;KLEIN - STICHPROBEN&gt;'!$E$42</f>
        <v>25</v>
      </c>
      <c r="G136" s="163">
        <f>'&lt;KLEIN - STICHPROBEN&gt;'!$E$41</f>
        <v>27</v>
      </c>
      <c r="H136" s="163">
        <f>'&lt;KLEIN - STICHPROBEN&gt;'!$E$49</f>
        <v>0</v>
      </c>
      <c r="I136" s="163">
        <f>'&lt;KLEIN - STICHPROBEN&gt;'!$E$48</f>
        <v>1</v>
      </c>
      <c r="J136" s="179">
        <f t="shared" si="4"/>
        <v>0</v>
      </c>
      <c r="K136" s="163">
        <f t="shared" si="5"/>
        <v>4.0610798888559172</v>
      </c>
      <c r="L136" s="163">
        <f t="shared" si="6"/>
        <v>5.5915685766016479E-2</v>
      </c>
      <c r="M136" s="163">
        <f t="shared" si="7"/>
        <v>5.4263231473298887</v>
      </c>
      <c r="N136" s="103"/>
    </row>
    <row r="137" spans="1:14" x14ac:dyDescent="0.3">
      <c r="A137" s="163">
        <f>'&lt;KLEIN - STICHPROBEN&gt;'!$F$46</f>
        <v>62</v>
      </c>
      <c r="B137" s="163">
        <f t="shared" si="0"/>
        <v>0</v>
      </c>
      <c r="C137" s="163">
        <f t="shared" si="1"/>
        <v>0</v>
      </c>
      <c r="D137" s="163">
        <f t="shared" si="2"/>
        <v>0</v>
      </c>
      <c r="E137" s="163">
        <f t="shared" si="3"/>
        <v>0</v>
      </c>
      <c r="F137" s="163">
        <f>'&lt;KLEIN - STICHPROBEN&gt;'!$F$42</f>
        <v>30</v>
      </c>
      <c r="G137" s="163">
        <f>'&lt;KLEIN - STICHPROBEN&gt;'!$F$41</f>
        <v>32</v>
      </c>
      <c r="H137" s="163">
        <f>'&lt;KLEIN - STICHPROBEN&gt;'!$F$49</f>
        <v>0</v>
      </c>
      <c r="I137" s="163">
        <f>'&lt;KLEIN - STICHPROBEN&gt;'!$F$48</f>
        <v>1</v>
      </c>
      <c r="J137" s="179">
        <f t="shared" si="4"/>
        <v>0</v>
      </c>
      <c r="K137" s="163">
        <f t="shared" si="5"/>
        <v>4.0610798888559172</v>
      </c>
      <c r="L137" s="163">
        <f t="shared" si="6"/>
        <v>5.5915685766016479E-2</v>
      </c>
      <c r="M137" s="163">
        <f t="shared" si="7"/>
        <v>5.4263231473298887</v>
      </c>
      <c r="N137" s="103"/>
    </row>
    <row r="138" spans="1:14" x14ac:dyDescent="0.3">
      <c r="A138" s="163">
        <f>'&lt;KLEIN - STICHPROBEN&gt;'!$G$46</f>
        <v>74</v>
      </c>
      <c r="B138" s="163">
        <f t="shared" si="0"/>
        <v>0</v>
      </c>
      <c r="C138" s="163">
        <f t="shared" si="1"/>
        <v>0</v>
      </c>
      <c r="D138" s="163">
        <f t="shared" si="2"/>
        <v>0</v>
      </c>
      <c r="E138" s="163">
        <f t="shared" si="3"/>
        <v>0</v>
      </c>
      <c r="F138" s="163">
        <f>'&lt;KLEIN - STICHPROBEN&gt;'!$G$42</f>
        <v>32</v>
      </c>
      <c r="G138" s="163">
        <f>'&lt;KLEIN - STICHPROBEN&gt;'!$G$41</f>
        <v>42</v>
      </c>
      <c r="H138" s="163">
        <f>'&lt;KLEIN - STICHPROBEN&gt;'!$G$49</f>
        <v>0</v>
      </c>
      <c r="I138" s="163">
        <f>'&lt;KLEIN - STICHPROBEN&gt;'!$G$48</f>
        <v>1</v>
      </c>
      <c r="J138" s="179">
        <f t="shared" si="4"/>
        <v>0</v>
      </c>
      <c r="K138" s="163">
        <f t="shared" si="5"/>
        <v>4.0610798888559172</v>
      </c>
      <c r="L138" s="163">
        <f t="shared" si="6"/>
        <v>5.5915685766016479E-2</v>
      </c>
      <c r="M138" s="163">
        <f t="shared" si="7"/>
        <v>5.4263231473298887</v>
      </c>
      <c r="N138" s="103"/>
    </row>
    <row r="139" spans="1:14" x14ac:dyDescent="0.3">
      <c r="A139" s="163">
        <f>'&lt;KLEIN - STICHPROBEN&gt;'!$H$46</f>
        <v>91</v>
      </c>
      <c r="B139" s="163">
        <f t="shared" si="0"/>
        <v>0</v>
      </c>
      <c r="C139" s="163">
        <f t="shared" si="1"/>
        <v>0</v>
      </c>
      <c r="D139" s="163">
        <f t="shared" si="2"/>
        <v>0</v>
      </c>
      <c r="E139" s="163">
        <f t="shared" si="3"/>
        <v>0</v>
      </c>
      <c r="F139" s="163">
        <f>'&lt;KLEIN - STICHPROBEN&gt;'!$H$42</f>
        <v>42</v>
      </c>
      <c r="G139" s="163">
        <f>'&lt;KLEIN - STICHPROBEN&gt;'!$H$41</f>
        <v>49</v>
      </c>
      <c r="H139" s="163">
        <f>'&lt;KLEIN - STICHPROBEN&gt;'!$H$49</f>
        <v>0</v>
      </c>
      <c r="I139" s="163">
        <f>'&lt;KLEIN - STICHPROBEN&gt;'!$H$48</f>
        <v>2</v>
      </c>
      <c r="J139" s="179">
        <f t="shared" si="4"/>
        <v>0</v>
      </c>
      <c r="K139" s="163">
        <f t="shared" si="5"/>
        <v>4.0610798888559172</v>
      </c>
      <c r="L139" s="163">
        <f t="shared" si="6"/>
        <v>0.19251786103773319</v>
      </c>
      <c r="M139" s="163">
        <f t="shared" si="7"/>
        <v>6.9242086609085209</v>
      </c>
      <c r="N139" s="103"/>
    </row>
    <row r="140" spans="1:14" x14ac:dyDescent="0.3">
      <c r="A140" s="163">
        <f>'&lt;KLEIN - STICHPROBEN&gt;'!$I$46</f>
        <v>99</v>
      </c>
      <c r="B140" s="163">
        <f t="shared" si="0"/>
        <v>0</v>
      </c>
      <c r="C140" s="163">
        <f t="shared" si="1"/>
        <v>0</v>
      </c>
      <c r="D140" s="163">
        <f t="shared" si="2"/>
        <v>0.1944624858967002</v>
      </c>
      <c r="E140" s="163">
        <f t="shared" si="3"/>
        <v>6.9941501625338596</v>
      </c>
      <c r="F140" s="163">
        <f>'&lt;KLEIN - STICHPROBEN&gt;'!$I$42</f>
        <v>47</v>
      </c>
      <c r="G140" s="163">
        <f>'&lt;KLEIN - STICHPROBEN&gt;'!$I$41</f>
        <v>52</v>
      </c>
      <c r="H140" s="163">
        <f>'&lt;KLEIN - STICHPROBEN&gt;'!$I$49</f>
        <v>0</v>
      </c>
      <c r="I140" s="163">
        <f>'&lt;KLEIN - STICHPROBEN&gt;'!$I$48</f>
        <v>2</v>
      </c>
      <c r="J140" s="179">
        <f t="shared" si="4"/>
        <v>0</v>
      </c>
      <c r="K140" s="163">
        <f t="shared" si="5"/>
        <v>4.0610798888559172</v>
      </c>
      <c r="L140" s="163">
        <f t="shared" si="6"/>
        <v>0.19251786103773319</v>
      </c>
      <c r="M140" s="163">
        <f t="shared" si="7"/>
        <v>6.9242086609085209</v>
      </c>
      <c r="N140" s="103"/>
    </row>
    <row r="141" spans="1:14" x14ac:dyDescent="0.3">
      <c r="A141" s="163">
        <f>'&lt;KLEIN - STICHPROBEN&gt;'!$J$46</f>
        <v>122</v>
      </c>
      <c r="B141" s="163">
        <f t="shared" si="0"/>
        <v>0</v>
      </c>
      <c r="C141" s="163">
        <f t="shared" si="1"/>
        <v>-3.3287540072589485</v>
      </c>
      <c r="D141" s="163">
        <f t="shared" si="2"/>
        <v>0.15780152544076492</v>
      </c>
      <c r="E141" s="163">
        <f t="shared" si="3"/>
        <v>5.6755808695971481</v>
      </c>
      <c r="F141" s="163">
        <f>'&lt;KLEIN - STICHPROBEN&gt;'!$J$42</f>
        <v>61</v>
      </c>
      <c r="G141" s="163">
        <f>'&lt;KLEIN - STICHPROBEN&gt;'!$J$41</f>
        <v>61</v>
      </c>
      <c r="H141" s="163">
        <f>'&lt;KLEIN - STICHPROBEN&gt;'!$J$49</f>
        <v>0</v>
      </c>
      <c r="I141" s="163">
        <f>'&lt;KLEIN - STICHPROBEN&gt;'!$J$48</f>
        <v>2</v>
      </c>
      <c r="J141" s="163">
        <f t="shared" si="4"/>
        <v>0</v>
      </c>
      <c r="K141" s="163">
        <f t="shared" si="5"/>
        <v>4.0610798888559172</v>
      </c>
      <c r="L141" s="163">
        <f t="shared" si="6"/>
        <v>0.19251786103773319</v>
      </c>
      <c r="M141" s="163">
        <f t="shared" si="7"/>
        <v>6.9242086609085209</v>
      </c>
      <c r="N141" s="103"/>
    </row>
    <row r="142" spans="1:14" x14ac:dyDescent="0.3">
      <c r="A142" s="163">
        <f>'&lt;KLEIN - STICHPROBEN&gt;'!$K$46</f>
        <v>135</v>
      </c>
      <c r="B142" s="163">
        <f t="shared" si="0"/>
        <v>-4.1419026493345543E-2</v>
      </c>
      <c r="C142" s="163">
        <f t="shared" si="1"/>
        <v>-4.0194986276517692</v>
      </c>
      <c r="D142" s="163">
        <f t="shared" si="2"/>
        <v>0.14260582299091348</v>
      </c>
      <c r="E142" s="163">
        <f t="shared" si="3"/>
        <v>5.1290434525248303</v>
      </c>
      <c r="F142" s="163">
        <f>'&lt;KLEIN - STICHPROBEN&gt;'!$K$42</f>
        <v>69</v>
      </c>
      <c r="G142" s="163">
        <f>'&lt;KLEIN - STICHPROBEN&gt;'!$K$41</f>
        <v>66</v>
      </c>
      <c r="H142" s="163">
        <f>'&lt;KLEIN - STICHPROBEN&gt;'!$K$49</f>
        <v>1</v>
      </c>
      <c r="I142" s="163">
        <f>'&lt;KLEIN - STICHPROBEN&gt;'!$K$48</f>
        <v>2</v>
      </c>
      <c r="J142" s="163">
        <f t="shared" si="4"/>
        <v>5.5915685766016479E-2</v>
      </c>
      <c r="K142" s="163">
        <f t="shared" si="5"/>
        <v>5.4263231473298887</v>
      </c>
      <c r="L142" s="163">
        <f t="shared" si="6"/>
        <v>0.19251786103773319</v>
      </c>
      <c r="M142" s="163">
        <f t="shared" si="7"/>
        <v>6.9242086609085209</v>
      </c>
      <c r="N142" s="103"/>
    </row>
    <row r="143" spans="1:14" x14ac:dyDescent="0.3">
      <c r="A143" s="163">
        <f>'&lt;KLEIN - STICHPROBEN&gt;'!$L$46</f>
        <v>153</v>
      </c>
      <c r="B143" s="163">
        <f t="shared" si="0"/>
        <v>-3.6546199847069596E-2</v>
      </c>
      <c r="C143" s="163">
        <f t="shared" si="1"/>
        <v>-3.5466164361633261</v>
      </c>
      <c r="D143" s="163">
        <f t="shared" si="2"/>
        <v>0.12582866734492365</v>
      </c>
      <c r="E143" s="163">
        <f t="shared" si="3"/>
        <v>4.5256265757572036</v>
      </c>
      <c r="F143" s="163">
        <f>'&lt;KLEIN - STICHPROBEN&gt;'!$L$42</f>
        <v>74</v>
      </c>
      <c r="G143" s="163">
        <f>'&lt;KLEIN - STICHPROBEN&gt;'!$L$41</f>
        <v>79</v>
      </c>
      <c r="H143" s="163">
        <f>'&lt;KLEIN - STICHPROBEN&gt;'!$L$49</f>
        <v>1</v>
      </c>
      <c r="I143" s="163">
        <f>'&lt;KLEIN - STICHPROBEN&gt;'!$L$48</f>
        <v>2</v>
      </c>
      <c r="J143" s="163">
        <f t="shared" si="4"/>
        <v>5.5915685766016479E-2</v>
      </c>
      <c r="K143" s="163">
        <f t="shared" si="5"/>
        <v>5.4263231473298887</v>
      </c>
      <c r="L143" s="163">
        <f t="shared" si="6"/>
        <v>0.19251786103773319</v>
      </c>
      <c r="M143" s="163">
        <f t="shared" si="7"/>
        <v>6.9242086609085209</v>
      </c>
      <c r="N143" s="103"/>
    </row>
    <row r="144" spans="1:14" x14ac:dyDescent="0.3">
      <c r="A144" s="163">
        <f>'&lt;KLEIN - STICHPROBEN&gt;'!$M$46</f>
        <v>170</v>
      </c>
      <c r="B144" s="163">
        <f t="shared" si="0"/>
        <v>-3.2891579862362637E-2</v>
      </c>
      <c r="C144" s="163">
        <f t="shared" si="1"/>
        <v>-3.1919547925469933</v>
      </c>
      <c r="D144" s="163">
        <f t="shared" si="2"/>
        <v>0.55501120420873096</v>
      </c>
      <c r="E144" s="163">
        <f t="shared" si="3"/>
        <v>5.9409789589011552</v>
      </c>
      <c r="F144" s="163">
        <f>'&lt;KLEIN - STICHPROBEN&gt;'!$M$42</f>
        <v>78</v>
      </c>
      <c r="G144" s="163">
        <f>'&lt;KLEIN - STICHPROBEN&gt;'!$M$41</f>
        <v>92</v>
      </c>
      <c r="H144" s="163">
        <f>'&lt;KLEIN - STICHPROBEN&gt;'!$M$49</f>
        <v>1</v>
      </c>
      <c r="I144" s="163">
        <f>'&lt;KLEIN - STICHPROBEN&gt;'!$M$48</f>
        <v>4</v>
      </c>
      <c r="J144" s="163">
        <f t="shared" si="4"/>
        <v>5.5915685766016479E-2</v>
      </c>
      <c r="K144" s="163">
        <f t="shared" si="5"/>
        <v>5.4263231473298887</v>
      </c>
      <c r="L144" s="163">
        <f t="shared" si="6"/>
        <v>0.94351904715484269</v>
      </c>
      <c r="M144" s="163">
        <f t="shared" si="7"/>
        <v>10.099664230131964</v>
      </c>
      <c r="N144" s="103"/>
    </row>
    <row r="145" spans="1:14" x14ac:dyDescent="0.3">
      <c r="A145" s="163">
        <f>'&lt;KLEIN - STICHPROBEN&gt;'!$N$46</f>
        <v>178</v>
      </c>
      <c r="B145" s="163">
        <f t="shared" si="0"/>
        <v>-3.1413306610121615E-2</v>
      </c>
      <c r="C145" s="163">
        <f t="shared" si="1"/>
        <v>-3.0484961501853309</v>
      </c>
      <c r="D145" s="163">
        <f t="shared" si="2"/>
        <v>0.53006688042406891</v>
      </c>
      <c r="E145" s="163">
        <f t="shared" si="3"/>
        <v>5.6739686686134627</v>
      </c>
      <c r="F145" s="163">
        <f>'&lt;KLEIN - STICHPROBEN&gt;'!$N$42</f>
        <v>80</v>
      </c>
      <c r="G145" s="163">
        <f>'&lt;KLEIN - STICHPROBEN&gt;'!$N$41</f>
        <v>98</v>
      </c>
      <c r="H145" s="163">
        <f>'&lt;KLEIN - STICHPROBEN&gt;'!$N$49</f>
        <v>1</v>
      </c>
      <c r="I145" s="163">
        <f>'&lt;KLEIN - STICHPROBEN&gt;'!$N$48</f>
        <v>4</v>
      </c>
      <c r="J145" s="163">
        <f t="shared" si="4"/>
        <v>5.5915685766016479E-2</v>
      </c>
      <c r="K145" s="163">
        <f t="shared" si="5"/>
        <v>5.4263231473298887</v>
      </c>
      <c r="L145" s="163">
        <f t="shared" si="6"/>
        <v>0.94351904715484269</v>
      </c>
      <c r="M145" s="163">
        <f t="shared" si="7"/>
        <v>10.099664230131964</v>
      </c>
      <c r="N145" s="103"/>
    </row>
    <row r="146" spans="1:14" x14ac:dyDescent="0.3">
      <c r="A146" s="163">
        <f>'&lt;KLEIN - STICHPROBEN&gt;'!$O$46</f>
        <v>187</v>
      </c>
      <c r="B146" s="163">
        <f t="shared" si="0"/>
        <v>-2.9901436238511485E-2</v>
      </c>
      <c r="C146" s="163">
        <f t="shared" si="1"/>
        <v>-2.9017770841336303</v>
      </c>
      <c r="D146" s="163">
        <f t="shared" si="2"/>
        <v>0.50455564018975541</v>
      </c>
      <c r="E146" s="163">
        <f t="shared" si="3"/>
        <v>5.4008899626374136</v>
      </c>
      <c r="F146" s="163">
        <f>'&lt;KLEIN - STICHPROBEN&gt;'!$O$42</f>
        <v>83</v>
      </c>
      <c r="G146" s="163">
        <f>'&lt;KLEIN - STICHPROBEN&gt;'!$O$41</f>
        <v>104</v>
      </c>
      <c r="H146" s="163">
        <f>'&lt;KLEIN - STICHPROBEN&gt;'!$O$49</f>
        <v>1</v>
      </c>
      <c r="I146" s="163">
        <f>'&lt;KLEIN - STICHPROBEN&gt;'!$O$48</f>
        <v>4</v>
      </c>
      <c r="J146" s="163">
        <f t="shared" si="4"/>
        <v>5.5915685766016479E-2</v>
      </c>
      <c r="K146" s="163">
        <f t="shared" si="5"/>
        <v>5.4263231473298887</v>
      </c>
      <c r="L146" s="163">
        <f t="shared" si="6"/>
        <v>0.94351904715484269</v>
      </c>
      <c r="M146" s="163">
        <f t="shared" si="7"/>
        <v>10.099664230131964</v>
      </c>
      <c r="N146" s="103"/>
    </row>
    <row r="147" spans="1:14" x14ac:dyDescent="0.3">
      <c r="A147" s="163">
        <f>'&lt;KLEIN - STICHPROBEN&gt;'!$P$46</f>
        <v>203</v>
      </c>
      <c r="B147" s="163">
        <f t="shared" si="0"/>
        <v>-2.7544672791141124E-2</v>
      </c>
      <c r="C147" s="163">
        <f t="shared" si="1"/>
        <v>-2.6730655898176794</v>
      </c>
      <c r="D147" s="163">
        <f t="shared" si="2"/>
        <v>0.46478770795805058</v>
      </c>
      <c r="E147" s="163">
        <f t="shared" si="3"/>
        <v>4.9752040542521989</v>
      </c>
      <c r="F147" s="163">
        <f>'&lt;KLEIN - STICHPROBEN&gt;'!$P$42</f>
        <v>91</v>
      </c>
      <c r="G147" s="163">
        <f>'&lt;KLEIN - STICHPROBEN&gt;'!$P$41</f>
        <v>112</v>
      </c>
      <c r="H147" s="163">
        <f>'&lt;KLEIN - STICHPROBEN&gt;'!$P$49</f>
        <v>1</v>
      </c>
      <c r="I147" s="163">
        <f>'&lt;KLEIN - STICHPROBEN&gt;'!$P$48</f>
        <v>4</v>
      </c>
      <c r="J147" s="163">
        <f t="shared" si="4"/>
        <v>5.5915685766016479E-2</v>
      </c>
      <c r="K147" s="163">
        <f t="shared" si="5"/>
        <v>5.4263231473298887</v>
      </c>
      <c r="L147" s="163">
        <f t="shared" si="6"/>
        <v>0.94351904715484269</v>
      </c>
      <c r="M147" s="163">
        <f t="shared" si="7"/>
        <v>10.099664230131964</v>
      </c>
      <c r="N147" s="103"/>
    </row>
    <row r="148" spans="1:14" x14ac:dyDescent="0.3">
      <c r="A148" s="163">
        <f>'&lt;KLEIN - STICHPROBEN&gt;'!$Q$46</f>
        <v>207</v>
      </c>
      <c r="B148" s="163">
        <f t="shared" si="0"/>
        <v>-2.7012408582616658E-2</v>
      </c>
      <c r="C148" s="163">
        <f t="shared" si="1"/>
        <v>-2.6214121484685453</v>
      </c>
      <c r="D148" s="163">
        <f t="shared" si="2"/>
        <v>0.75100835274660149</v>
      </c>
      <c r="E148" s="163">
        <f t="shared" si="3"/>
        <v>5.6406616576491002</v>
      </c>
      <c r="F148" s="163">
        <f>'&lt;KLEIN - STICHPROBEN&gt;'!$Q$42</f>
        <v>91</v>
      </c>
      <c r="G148" s="163">
        <f>'&lt;KLEIN - STICHPROBEN&gt;'!$Q$41</f>
        <v>116</v>
      </c>
      <c r="H148" s="163">
        <f>'&lt;KLEIN - STICHPROBEN&gt;'!$Q$49</f>
        <v>1</v>
      </c>
      <c r="I148" s="163">
        <f>'&lt;KLEIN - STICHPROBEN&gt;'!$Q$48</f>
        <v>5</v>
      </c>
      <c r="J148" s="163">
        <f t="shared" si="4"/>
        <v>5.5915685766016479E-2</v>
      </c>
      <c r="K148" s="163">
        <f t="shared" si="5"/>
        <v>5.4263231473298887</v>
      </c>
      <c r="L148" s="163">
        <f t="shared" si="6"/>
        <v>1.5545872901854652</v>
      </c>
      <c r="M148" s="163">
        <f t="shared" si="7"/>
        <v>11.676169631333636</v>
      </c>
      <c r="N148" s="103"/>
    </row>
    <row r="149" spans="1:14" x14ac:dyDescent="0.3">
      <c r="A149" s="163">
        <f>'&lt;KLEIN - STICHPROBEN&gt;'!$R$46</f>
        <v>225</v>
      </c>
      <c r="B149" s="163">
        <f t="shared" si="0"/>
        <v>-2.4851415896007322E-2</v>
      </c>
      <c r="C149" s="163">
        <f t="shared" si="1"/>
        <v>-2.4116991765910618</v>
      </c>
      <c r="D149" s="163">
        <f t="shared" si="2"/>
        <v>0.69092768452687336</v>
      </c>
      <c r="E149" s="163">
        <f t="shared" si="3"/>
        <v>5.1894087250371719</v>
      </c>
      <c r="F149" s="163">
        <f>'&lt;KLEIN - STICHPROBEN&gt;'!$R$42</f>
        <v>103</v>
      </c>
      <c r="G149" s="163">
        <f>'&lt;KLEIN - STICHPROBEN&gt;'!$R$41</f>
        <v>122</v>
      </c>
      <c r="H149" s="163">
        <f>'&lt;KLEIN - STICHPROBEN&gt;'!$R$49</f>
        <v>1</v>
      </c>
      <c r="I149" s="163">
        <f>'&lt;KLEIN - STICHPROBEN&gt;'!$R$48</f>
        <v>5</v>
      </c>
      <c r="J149" s="163">
        <f t="shared" si="4"/>
        <v>5.5915685766016479E-2</v>
      </c>
      <c r="K149" s="163">
        <f t="shared" si="5"/>
        <v>5.4263231473298887</v>
      </c>
      <c r="L149" s="163">
        <f t="shared" si="6"/>
        <v>1.5545872901854652</v>
      </c>
      <c r="M149" s="163">
        <f t="shared" si="7"/>
        <v>11.676169631333636</v>
      </c>
      <c r="N149" s="103"/>
    </row>
    <row r="150" spans="1:14" x14ac:dyDescent="0.3">
      <c r="A150" s="163">
        <f>'&lt;KLEIN - STICHPROBEN&gt;'!$S$46</f>
        <v>230</v>
      </c>
      <c r="B150" s="163">
        <f t="shared" si="0"/>
        <v>-2.3201529363492315E-2</v>
      </c>
      <c r="C150" s="163">
        <f t="shared" si="1"/>
        <v>-2.2515863681866759</v>
      </c>
      <c r="D150" s="163">
        <f t="shared" si="2"/>
        <v>0.6450569668819357</v>
      </c>
      <c r="E150" s="163">
        <f t="shared" si="3"/>
        <v>4.8448836644537909</v>
      </c>
      <c r="F150" s="163">
        <f>'&lt;KLEIN - STICHPROBEN&gt;'!$S$42</f>
        <v>119</v>
      </c>
      <c r="G150" s="163">
        <f>'&lt;KLEIN - STICHPROBEN&gt;'!$S$41</f>
        <v>122</v>
      </c>
      <c r="H150" s="163">
        <f>'&lt;KLEIN - STICHPROBEN&gt;'!$S$49</f>
        <v>1</v>
      </c>
      <c r="I150" s="163">
        <f>'&lt;KLEIN - STICHPROBEN&gt;'!$S$48</f>
        <v>5</v>
      </c>
      <c r="J150" s="163">
        <f t="shared" si="4"/>
        <v>5.5915685766016479E-2</v>
      </c>
      <c r="K150" s="163">
        <f t="shared" si="5"/>
        <v>5.4263231473298887</v>
      </c>
      <c r="L150" s="163">
        <f t="shared" si="6"/>
        <v>1.5545872901854652</v>
      </c>
      <c r="M150" s="163">
        <f t="shared" si="7"/>
        <v>11.676169631333636</v>
      </c>
      <c r="N150" s="103"/>
    </row>
    <row r="151" spans="1:14" x14ac:dyDescent="0.3">
      <c r="A151" s="163"/>
      <c r="B151" s="163"/>
      <c r="C151" s="163"/>
      <c r="D151" s="163"/>
      <c r="E151" s="163"/>
      <c r="F151" s="163"/>
      <c r="G151" s="163"/>
      <c r="H151" s="163"/>
      <c r="I151" s="163"/>
      <c r="J151" s="163"/>
      <c r="K151" s="163"/>
      <c r="L151" s="103"/>
      <c r="M151" s="103"/>
      <c r="N151" s="103"/>
    </row>
    <row r="152" spans="1:14" x14ac:dyDescent="0.3">
      <c r="A152" s="4"/>
      <c r="C152" s="4"/>
      <c r="D152" s="4"/>
      <c r="E152" s="4"/>
      <c r="F152" s="4"/>
      <c r="G152" s="4"/>
      <c r="H152" s="4"/>
      <c r="I152" s="4"/>
      <c r="J152" s="2"/>
      <c r="K152" s="2"/>
    </row>
    <row r="153" spans="1:14" x14ac:dyDescent="0.3">
      <c r="A153" s="90"/>
      <c r="B153" s="90"/>
      <c r="C153" s="90"/>
      <c r="D153" s="90"/>
      <c r="E153" s="90"/>
      <c r="F153" s="90"/>
      <c r="G153" s="90"/>
      <c r="H153" s="90"/>
      <c r="I153" s="90"/>
      <c r="J153" s="105"/>
      <c r="K153" s="166"/>
    </row>
    <row r="154" spans="1:14" x14ac:dyDescent="0.3">
      <c r="A154" s="90"/>
      <c r="B154" s="90"/>
      <c r="C154" s="90"/>
      <c r="D154" s="90"/>
      <c r="E154" s="90"/>
      <c r="F154" s="90"/>
      <c r="G154" s="90"/>
      <c r="H154" s="90"/>
      <c r="I154" s="90"/>
      <c r="J154" s="105"/>
      <c r="K154" s="166"/>
    </row>
    <row r="155" spans="1:14" x14ac:dyDescent="0.3">
      <c r="A155" s="90"/>
      <c r="B155" s="90"/>
      <c r="C155" s="90"/>
      <c r="D155" s="90"/>
      <c r="E155" s="90"/>
      <c r="F155" s="90"/>
      <c r="G155" s="90"/>
      <c r="H155" s="90"/>
      <c r="I155" s="90"/>
      <c r="J155" s="105"/>
      <c r="K155" s="166"/>
    </row>
    <row r="156" spans="1:14" x14ac:dyDescent="0.3">
      <c r="A156" s="90"/>
      <c r="B156" s="90"/>
      <c r="C156" s="90"/>
      <c r="D156" s="90"/>
      <c r="E156" s="90"/>
      <c r="F156" s="90"/>
      <c r="G156" s="90"/>
      <c r="H156" s="90"/>
      <c r="I156" s="90"/>
      <c r="J156" s="105"/>
      <c r="K156" s="166"/>
    </row>
    <row r="157" spans="1:14" x14ac:dyDescent="0.3">
      <c r="A157" s="90"/>
      <c r="B157" s="90"/>
      <c r="C157" s="90"/>
      <c r="D157" s="90"/>
      <c r="E157" s="90"/>
      <c r="F157" s="90"/>
      <c r="G157" s="90"/>
      <c r="H157" s="90"/>
      <c r="I157" s="90"/>
      <c r="J157" s="105"/>
      <c r="K157" s="166"/>
    </row>
    <row r="158" spans="1:14" x14ac:dyDescent="0.3">
      <c r="A158" s="90"/>
      <c r="B158" s="90"/>
      <c r="C158" s="90"/>
      <c r="D158" s="90"/>
      <c r="E158" s="90"/>
      <c r="F158" s="90"/>
      <c r="G158" s="90"/>
      <c r="H158" s="90"/>
      <c r="I158" s="90"/>
      <c r="J158" s="105"/>
      <c r="K158" s="166"/>
    </row>
    <row r="159" spans="1:14" x14ac:dyDescent="0.3">
      <c r="A159" s="90"/>
      <c r="B159" s="90"/>
      <c r="C159" s="90"/>
      <c r="D159" s="90"/>
      <c r="E159" s="90"/>
      <c r="F159" s="90"/>
      <c r="G159" s="90"/>
      <c r="H159" s="90"/>
      <c r="I159" s="90"/>
      <c r="J159" s="105"/>
      <c r="K159" s="166"/>
    </row>
    <row r="160" spans="1:14" x14ac:dyDescent="0.3">
      <c r="A160" s="90"/>
      <c r="B160" s="90"/>
      <c r="C160" s="90"/>
      <c r="D160" s="90"/>
      <c r="E160" s="90"/>
      <c r="F160" s="90"/>
      <c r="G160" s="90"/>
      <c r="H160" s="90"/>
      <c r="I160" s="90"/>
      <c r="J160" s="105"/>
      <c r="K160" s="166"/>
    </row>
    <row r="161" spans="1:9" x14ac:dyDescent="0.3">
      <c r="A161" s="90"/>
      <c r="B161" s="90"/>
      <c r="C161" s="90"/>
      <c r="D161" s="90"/>
      <c r="E161" s="90"/>
      <c r="F161" s="90"/>
      <c r="G161" s="90"/>
      <c r="H161" s="90"/>
      <c r="I161" s="90"/>
    </row>
    <row r="162" spans="1:9" x14ac:dyDescent="0.3">
      <c r="A162" s="90"/>
      <c r="B162" s="90"/>
      <c r="C162" s="90"/>
      <c r="D162" s="90"/>
      <c r="E162" s="90"/>
      <c r="F162" s="90"/>
      <c r="G162" s="90"/>
      <c r="H162" s="90"/>
      <c r="I162" s="90"/>
    </row>
    <row r="163" spans="1:9" x14ac:dyDescent="0.3">
      <c r="A163" s="90"/>
      <c r="B163" s="90"/>
      <c r="C163" s="90"/>
      <c r="D163" s="90"/>
      <c r="E163" s="90"/>
      <c r="F163" s="90"/>
      <c r="G163" s="90"/>
      <c r="H163" s="90"/>
      <c r="I163" s="90"/>
    </row>
    <row r="164" spans="1:9" x14ac:dyDescent="0.3">
      <c r="A164" s="90"/>
      <c r="B164" s="90"/>
      <c r="C164" s="90"/>
      <c r="D164" s="90"/>
      <c r="E164" s="90"/>
      <c r="F164" s="90"/>
      <c r="G164" s="90"/>
      <c r="H164" s="90"/>
      <c r="I164" s="90"/>
    </row>
    <row r="165" spans="1:9" x14ac:dyDescent="0.3">
      <c r="A165" s="90"/>
      <c r="B165" s="90"/>
      <c r="C165" s="90"/>
      <c r="D165" s="90"/>
      <c r="E165" s="90"/>
      <c r="F165" s="90"/>
      <c r="G165" s="90"/>
      <c r="H165" s="90"/>
      <c r="I165" s="90"/>
    </row>
    <row r="166" spans="1:9" x14ac:dyDescent="0.3">
      <c r="A166" s="90"/>
      <c r="B166" s="90"/>
      <c r="C166" s="90"/>
      <c r="D166" s="90"/>
      <c r="E166" s="90"/>
      <c r="F166" s="90"/>
      <c r="G166" s="90"/>
      <c r="H166" s="90"/>
      <c r="I166" s="90"/>
    </row>
    <row r="167" spans="1:9" x14ac:dyDescent="0.3">
      <c r="A167" s="90"/>
      <c r="B167" s="90"/>
      <c r="C167" s="90"/>
      <c r="D167" s="90"/>
      <c r="E167" s="90"/>
      <c r="F167" s="90"/>
      <c r="G167" s="90"/>
      <c r="H167" s="90"/>
      <c r="I167" s="90"/>
    </row>
    <row r="168" spans="1:9" x14ac:dyDescent="0.3">
      <c r="A168" s="90"/>
      <c r="B168" s="90"/>
      <c r="C168" s="90"/>
      <c r="D168" s="90"/>
      <c r="E168" s="90"/>
      <c r="F168" s="90"/>
      <c r="G168" s="90"/>
      <c r="H168" s="90"/>
      <c r="I168" s="90"/>
    </row>
    <row r="169" spans="1:9" x14ac:dyDescent="0.3">
      <c r="A169" s="90"/>
      <c r="B169" s="90"/>
      <c r="C169" s="90"/>
      <c r="D169" s="90"/>
      <c r="E169" s="90"/>
      <c r="F169" s="90"/>
      <c r="G169" s="90"/>
      <c r="H169" s="90"/>
      <c r="I169" s="90"/>
    </row>
    <row r="170" spans="1:9" x14ac:dyDescent="0.3">
      <c r="A170" s="90"/>
      <c r="B170" s="90"/>
      <c r="C170" s="90"/>
      <c r="D170" s="90"/>
      <c r="E170" s="90"/>
      <c r="F170" s="90"/>
      <c r="G170" s="90"/>
      <c r="H170" s="90"/>
      <c r="I170" s="90"/>
    </row>
    <row r="171" spans="1:9" x14ac:dyDescent="0.3">
      <c r="A171" s="90"/>
      <c r="B171" s="90"/>
      <c r="C171" s="90"/>
      <c r="D171" s="90"/>
      <c r="E171" s="90"/>
      <c r="F171" s="90"/>
      <c r="G171" s="90"/>
      <c r="H171" s="90"/>
      <c r="I171" s="90"/>
    </row>
    <row r="172" spans="1:9" x14ac:dyDescent="0.3">
      <c r="A172" s="90"/>
      <c r="B172" s="90"/>
      <c r="C172" s="90"/>
      <c r="D172" s="90"/>
      <c r="E172" s="90"/>
      <c r="F172" s="90"/>
      <c r="G172" s="90"/>
      <c r="H172" s="90"/>
      <c r="I172" s="90"/>
    </row>
    <row r="173" spans="1:9" x14ac:dyDescent="0.3">
      <c r="A173" s="90"/>
      <c r="B173" s="90"/>
      <c r="C173" s="90"/>
      <c r="D173" s="90"/>
      <c r="E173" s="90"/>
      <c r="F173" s="90"/>
      <c r="G173" s="90"/>
      <c r="H173" s="90"/>
      <c r="I173" s="90"/>
    </row>
    <row r="174" spans="1:9" x14ac:dyDescent="0.3">
      <c r="A174" s="90" t="s">
        <v>134</v>
      </c>
      <c r="B174" s="90"/>
      <c r="C174" s="90"/>
      <c r="D174" s="90"/>
      <c r="E174" s="90"/>
      <c r="F174" s="90"/>
      <c r="G174" s="181">
        <f>'&lt;BESCHREIBUNG&gt;EINZELSERIEN'!$L$27</f>
        <v>95</v>
      </c>
      <c r="H174" s="182">
        <f>(0.01*95*G174)</f>
        <v>90.25</v>
      </c>
      <c r="I174" s="183" t="s">
        <v>133</v>
      </c>
    </row>
    <row r="175" spans="1:9" x14ac:dyDescent="0.3">
      <c r="A175" s="183" t="s">
        <v>146</v>
      </c>
      <c r="B175" s="90"/>
      <c r="C175" s="90"/>
      <c r="D175" s="90"/>
      <c r="E175" s="90"/>
      <c r="F175" s="184" t="s">
        <v>136</v>
      </c>
      <c r="G175" s="182">
        <f>'&lt;BESCHREIBUNG&gt; SERIENSUMME'!$L$31</f>
        <v>2.5</v>
      </c>
      <c r="H175" s="184" t="s">
        <v>137</v>
      </c>
      <c r="I175" s="182">
        <f>'&lt;BESCHREIBUNG&gt; SERIENSUMME'!$L$30</f>
        <v>2.5</v>
      </c>
    </row>
    <row r="176" spans="1:9" x14ac:dyDescent="0.3">
      <c r="A176" s="90"/>
      <c r="B176" s="90"/>
      <c r="C176" s="90"/>
      <c r="D176" s="90"/>
      <c r="E176" s="90"/>
      <c r="F176" s="90"/>
      <c r="G176" s="90"/>
      <c r="H176" s="90"/>
      <c r="I176" s="90"/>
    </row>
    <row r="177" spans="1:9" x14ac:dyDescent="0.3">
      <c r="A177" s="183" t="s">
        <v>140</v>
      </c>
      <c r="B177" s="90" t="s">
        <v>141</v>
      </c>
      <c r="C177" s="90"/>
      <c r="D177" s="90"/>
      <c r="E177" s="90"/>
      <c r="F177" s="90"/>
      <c r="G177" s="90"/>
      <c r="H177" s="90"/>
      <c r="I177" s="90"/>
    </row>
    <row r="178" spans="1:9" x14ac:dyDescent="0.3">
      <c r="A178" s="90"/>
      <c r="B178" s="90" t="s">
        <v>149</v>
      </c>
      <c r="C178" s="90"/>
      <c r="D178" s="90"/>
      <c r="E178" s="90"/>
      <c r="F178" s="90"/>
      <c r="G178" s="90"/>
      <c r="H178" s="90"/>
      <c r="I178" s="90"/>
    </row>
    <row r="179" spans="1:9" x14ac:dyDescent="0.3">
      <c r="A179" s="90"/>
      <c r="B179" s="90" t="s">
        <v>147</v>
      </c>
      <c r="C179" s="90"/>
      <c r="D179" s="90"/>
      <c r="E179" s="90"/>
      <c r="F179" s="90"/>
      <c r="G179" s="90"/>
      <c r="H179" s="90"/>
      <c r="I179" s="90"/>
    </row>
    <row r="180" spans="1:9" x14ac:dyDescent="0.3">
      <c r="A180" s="90"/>
      <c r="B180" s="90" t="s">
        <v>142</v>
      </c>
      <c r="C180" s="90"/>
      <c r="D180" s="90"/>
      <c r="E180" s="90"/>
      <c r="F180" s="90"/>
      <c r="G180" s="90"/>
      <c r="H180" s="90"/>
      <c r="I180" s="90"/>
    </row>
    <row r="181" spans="1:9" x14ac:dyDescent="0.3">
      <c r="A181" s="90"/>
      <c r="B181" s="90" t="s">
        <v>143</v>
      </c>
      <c r="C181" s="90"/>
      <c r="D181" s="90"/>
      <c r="E181" s="90"/>
      <c r="F181" s="90"/>
      <c r="G181" s="90"/>
      <c r="H181" s="90"/>
      <c r="I181" s="90"/>
    </row>
    <row r="182" spans="1:9" x14ac:dyDescent="0.3">
      <c r="A182" s="90"/>
      <c r="B182" s="90" t="s">
        <v>144</v>
      </c>
      <c r="C182" s="90"/>
      <c r="D182" s="90"/>
      <c r="E182" s="90"/>
      <c r="F182" s="90"/>
      <c r="G182" s="90"/>
      <c r="H182" s="90"/>
      <c r="I182" s="90"/>
    </row>
    <row r="183" spans="1:9" x14ac:dyDescent="0.3">
      <c r="A183" s="90"/>
      <c r="B183" s="90" t="s">
        <v>145</v>
      </c>
      <c r="C183" s="90"/>
      <c r="D183" s="90"/>
      <c r="E183" s="90"/>
      <c r="F183" s="90"/>
      <c r="G183" s="90"/>
      <c r="H183" s="90"/>
      <c r="I183" s="90"/>
    </row>
    <row r="184" spans="1:9" x14ac:dyDescent="0.3">
      <c r="A184" s="90"/>
      <c r="B184" s="90" t="s">
        <v>148</v>
      </c>
      <c r="C184" s="90"/>
      <c r="D184" s="90"/>
      <c r="E184" s="90"/>
      <c r="F184" s="90"/>
      <c r="G184" s="90"/>
      <c r="H184" s="90"/>
      <c r="I184" s="90"/>
    </row>
    <row r="185" spans="1:9" x14ac:dyDescent="0.3">
      <c r="A185" s="90"/>
      <c r="B185" s="90" t="s">
        <v>158</v>
      </c>
      <c r="C185" s="90"/>
      <c r="D185" s="90"/>
      <c r="E185" s="90"/>
      <c r="F185" s="90"/>
      <c r="G185" s="90"/>
      <c r="H185" s="90"/>
      <c r="I185" s="90"/>
    </row>
    <row r="186" spans="1:9" x14ac:dyDescent="0.3">
      <c r="A186" s="90"/>
      <c r="B186" s="185" t="s">
        <v>159</v>
      </c>
      <c r="C186" s="90"/>
      <c r="D186" s="90"/>
      <c r="E186" s="90"/>
      <c r="F186" s="90"/>
      <c r="G186" s="90"/>
      <c r="H186" s="90"/>
      <c r="I186" s="90"/>
    </row>
    <row r="187" spans="1:9" x14ac:dyDescent="0.3">
      <c r="A187" s="90"/>
      <c r="B187" s="90"/>
      <c r="C187" s="90"/>
      <c r="D187" s="90"/>
      <c r="E187" s="90"/>
      <c r="F187" s="90"/>
      <c r="G187" s="90"/>
      <c r="H187" s="90"/>
      <c r="I187" s="90"/>
    </row>
  </sheetData>
  <sheetProtection algorithmName="SHA-512" hashValue="eYln/ZTaogRz9EYA4UMJCZgwik0D1EMuTEaRQzCfbp9h9MOfQMfwP5p32s6/MmkbEYFENJUzMmsG4MNv5pINjw==" saltValue="BsysfTwQqGEMpiT6ZT+OJg==" spinCount="100000" sheet="1" objects="1" scenarios="1" selectLockedCells="1"/>
  <mergeCells count="2">
    <mergeCell ref="B131:C131"/>
    <mergeCell ref="D131:E131"/>
  </mergeCells>
  <pageMargins left="0.7" right="0.7" top="0.78740157499999996" bottom="0.78740157499999996" header="0.3" footer="0.3"/>
  <pageSetup paperSize="9" scale="95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&lt;KLEIN - STICHPROBEN&gt;</vt:lpstr>
      <vt:lpstr>&lt;BESCHREIBUNG&gt;EINZELSERIEN</vt:lpstr>
      <vt:lpstr>&lt;BESCHREIBUNG&gt; SERIENSUMME</vt:lpstr>
      <vt:lpstr>AUSSCHUSS - GANGLINIE</vt:lpstr>
      <vt:lpstr>'&lt;BESCHREIBUNG&gt; SERIENSUMME'!Druckbereich</vt:lpstr>
      <vt:lpstr>'&lt;BESCHREIBUNG&gt;EINZELSERIEN'!Druckbereich</vt:lpstr>
      <vt:lpstr>'&lt;KLEIN - STICHPROBEN&gt;'!Druckbereich</vt:lpstr>
      <vt:lpstr>'AUSSCHUSS - GANGLINIE'!Druckbereich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</dc:creator>
  <cp:lastModifiedBy>Heinz</cp:lastModifiedBy>
  <cp:lastPrinted>2016-11-23T13:42:54Z</cp:lastPrinted>
  <dcterms:created xsi:type="dcterms:W3CDTF">2016-09-19T08:57:10Z</dcterms:created>
  <dcterms:modified xsi:type="dcterms:W3CDTF">2017-12-15T15:15:08Z</dcterms:modified>
</cp:coreProperties>
</file>